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875"/>
  </bookViews>
  <sheets>
    <sheet name="2 Phase Fluid" sheetId="1" r:id="rId1"/>
  </sheets>
  <definedNames>
    <definedName name="_xlnm.Print_Area" localSheetId="0">'2 Phase Fluid'!$A$1:$K$48</definedName>
  </definedNames>
  <calcPr calcId="145621"/>
</workbook>
</file>

<file path=xl/calcChain.xml><?xml version="1.0" encoding="utf-8"?>
<calcChain xmlns="http://schemas.openxmlformats.org/spreadsheetml/2006/main">
  <c r="F137" i="1" l="1"/>
  <c r="F132" i="1"/>
  <c r="F107" i="1"/>
  <c r="F110" i="1"/>
  <c r="F62" i="1"/>
  <c r="F103" i="1"/>
  <c r="F102" i="1"/>
  <c r="F82" i="1"/>
  <c r="F54" i="1" l="1"/>
  <c r="F116" i="1" l="1"/>
  <c r="I12" i="1" l="1"/>
  <c r="F94" i="1"/>
  <c r="I27" i="1" l="1"/>
  <c r="I26" i="1"/>
  <c r="I25" i="1"/>
  <c r="I19" i="1"/>
  <c r="I54" i="1" s="1"/>
  <c r="F59" i="1" s="1"/>
  <c r="I22" i="1"/>
  <c r="I21" i="1"/>
  <c r="F20" i="1"/>
  <c r="I17" i="1"/>
  <c r="I18" i="1"/>
  <c r="I20" i="1" l="1"/>
  <c r="F66" i="1"/>
  <c r="F67" i="1"/>
  <c r="I11" i="1"/>
  <c r="F61" i="1" l="1"/>
  <c r="F68" i="1"/>
  <c r="F65" i="1"/>
  <c r="I10" i="1"/>
  <c r="F51" i="1" l="1"/>
  <c r="I55" i="1" s="1"/>
  <c r="I56" i="1" s="1"/>
  <c r="F55" i="1" l="1"/>
  <c r="F58" i="1" l="1"/>
  <c r="F60" i="1" s="1"/>
  <c r="I74" i="1" s="1"/>
  <c r="F56" i="1"/>
  <c r="F113" i="1"/>
  <c r="F89" i="1" l="1"/>
  <c r="J65" i="1"/>
  <c r="I75" i="1"/>
  <c r="F85" i="1"/>
  <c r="I98" i="1" s="1"/>
  <c r="J98" i="1" s="1"/>
  <c r="K98" i="1" s="1"/>
  <c r="F74" i="1"/>
  <c r="H98" i="1" s="1"/>
  <c r="F76" i="1"/>
  <c r="F75" i="1"/>
  <c r="H99" i="1" s="1"/>
  <c r="F86" i="1"/>
  <c r="I99" i="1" s="1"/>
  <c r="J99" i="1" s="1"/>
  <c r="K99" i="1" s="1"/>
  <c r="J67" i="1"/>
  <c r="J68" i="1"/>
  <c r="J66" i="1"/>
  <c r="F40" i="1"/>
  <c r="I40" i="1" s="1"/>
  <c r="F117" i="1"/>
  <c r="F98" i="1" l="1"/>
  <c r="F99" i="1" s="1"/>
  <c r="F70" i="1"/>
  <c r="C120" i="1"/>
  <c r="E120" i="1" s="1"/>
  <c r="F120" i="1" s="1"/>
  <c r="G120" i="1" s="1"/>
  <c r="H120" i="1" s="1"/>
  <c r="I120" i="1" s="1"/>
  <c r="C123" i="1" s="1"/>
  <c r="E123" i="1" s="1"/>
  <c r="F123" i="1" s="1"/>
  <c r="G123" i="1" s="1"/>
  <c r="H123" i="1" s="1"/>
  <c r="I123" i="1" s="1"/>
  <c r="C126" i="1" s="1"/>
  <c r="E126" i="1" s="1"/>
  <c r="F126" i="1" s="1"/>
  <c r="G126" i="1" s="1"/>
  <c r="H126" i="1" s="1"/>
  <c r="I126" i="1" s="1"/>
  <c r="F128" i="1" s="1"/>
  <c r="F41" i="1" s="1"/>
  <c r="I41" i="1" s="1"/>
  <c r="F31" i="1" l="1"/>
  <c r="F78" i="1"/>
  <c r="F79" i="1" s="1"/>
  <c r="F91" i="1"/>
  <c r="F92" i="1" s="1"/>
  <c r="F95" i="1" s="1"/>
  <c r="F100" i="1" s="1"/>
  <c r="F33" i="1" l="1"/>
  <c r="I33" i="1" s="1"/>
  <c r="F35" i="1"/>
  <c r="I35" i="1" s="1"/>
  <c r="F34" i="1"/>
  <c r="I34" i="1" s="1"/>
  <c r="F108" i="1"/>
  <c r="F109" i="1" s="1"/>
  <c r="F111" i="1" s="1"/>
  <c r="I37" i="1" l="1"/>
  <c r="F37" i="1" s="1"/>
  <c r="F131" i="1"/>
  <c r="F39" i="1"/>
  <c r="I39" i="1" s="1"/>
  <c r="I36" i="1"/>
  <c r="F36" i="1" s="1"/>
  <c r="I45" i="1" l="1"/>
  <c r="F45" i="1" s="1"/>
  <c r="F42" i="1"/>
  <c r="I42" i="1" s="1"/>
  <c r="F134" i="1" l="1"/>
  <c r="I44" i="1" s="1"/>
  <c r="I46" i="1" s="1"/>
  <c r="I47" i="1" s="1"/>
  <c r="I43" i="1"/>
  <c r="F43" i="1"/>
  <c r="F138" i="1" l="1"/>
  <c r="F44" i="1"/>
  <c r="F46" i="1" l="1"/>
  <c r="F47" i="1" s="1"/>
</calcChain>
</file>

<file path=xl/sharedStrings.xml><?xml version="1.0" encoding="utf-8"?>
<sst xmlns="http://schemas.openxmlformats.org/spreadsheetml/2006/main" count="195" uniqueCount="144">
  <si>
    <t>Line Number</t>
  </si>
  <si>
    <t>P-10001</t>
  </si>
  <si>
    <t>Description</t>
  </si>
  <si>
    <t>Feed Pipe</t>
  </si>
  <si>
    <t>Date</t>
  </si>
  <si>
    <t xml:space="preserve">User Input </t>
  </si>
  <si>
    <t>By</t>
  </si>
  <si>
    <t>Metric</t>
  </si>
  <si>
    <t xml:space="preserve">English </t>
  </si>
  <si>
    <t>Pipe Data</t>
  </si>
  <si>
    <t>Inner Diameter</t>
  </si>
  <si>
    <t>mm</t>
  </si>
  <si>
    <t>inch</t>
  </si>
  <si>
    <t>foot</t>
  </si>
  <si>
    <t>Two Phase Flow - Beggs &amp; Brill Method</t>
  </si>
  <si>
    <t>Pipe Roughness</t>
  </si>
  <si>
    <t>Gas</t>
  </si>
  <si>
    <t>Flowrate</t>
  </si>
  <si>
    <r>
      <t>m</t>
    </r>
    <r>
      <rPr>
        <vertAlign val="superscript"/>
        <sz val="11"/>
        <color rgb="FF7030A0"/>
        <rFont val="Calibri"/>
        <family val="2"/>
        <scheme val="minor"/>
      </rPr>
      <t>3</t>
    </r>
    <r>
      <rPr>
        <sz val="11"/>
        <color rgb="FF7030A0"/>
        <rFont val="Calibri"/>
        <family val="2"/>
        <scheme val="minor"/>
      </rPr>
      <t>/h</t>
    </r>
  </si>
  <si>
    <r>
      <t>Nm</t>
    </r>
    <r>
      <rPr>
        <vertAlign val="superscript"/>
        <sz val="11"/>
        <color rgb="FF7030A0"/>
        <rFont val="Calibri"/>
        <family val="2"/>
        <scheme val="minor"/>
      </rPr>
      <t>3</t>
    </r>
    <r>
      <rPr>
        <sz val="11"/>
        <color rgb="FF7030A0"/>
        <rFont val="Calibri"/>
        <family val="2"/>
        <scheme val="minor"/>
      </rPr>
      <t>/h @ 1 atm, 0</t>
    </r>
    <r>
      <rPr>
        <sz val="11"/>
        <color rgb="FF7030A0"/>
        <rFont val="Calibri"/>
        <family val="2"/>
      </rPr>
      <t>°</t>
    </r>
    <r>
      <rPr>
        <sz val="11"/>
        <color rgb="FF7030A0"/>
        <rFont val="Calibri"/>
        <family val="2"/>
        <scheme val="minor"/>
      </rPr>
      <t>C</t>
    </r>
  </si>
  <si>
    <t>Flowing Temperature</t>
  </si>
  <si>
    <t>Deg C</t>
  </si>
  <si>
    <t>Inlet Pressure</t>
  </si>
  <si>
    <t>bar</t>
  </si>
  <si>
    <t>psi</t>
  </si>
  <si>
    <t>Deg F</t>
  </si>
  <si>
    <r>
      <t>SCFM @ 14.7 PSI, 60</t>
    </r>
    <r>
      <rPr>
        <sz val="11"/>
        <color rgb="FF7030A0"/>
        <rFont val="Calibri"/>
        <family val="2"/>
      </rPr>
      <t>°</t>
    </r>
    <r>
      <rPr>
        <sz val="11"/>
        <color rgb="FF7030A0"/>
        <rFont val="Calibri"/>
        <family val="2"/>
        <scheme val="minor"/>
      </rPr>
      <t>F</t>
    </r>
  </si>
  <si>
    <t>Density</t>
  </si>
  <si>
    <r>
      <t>Kg/m</t>
    </r>
    <r>
      <rPr>
        <vertAlign val="superscript"/>
        <sz val="11"/>
        <color rgb="FF7030A0"/>
        <rFont val="Calibri"/>
        <family val="2"/>
        <scheme val="minor"/>
      </rPr>
      <t>3</t>
    </r>
  </si>
  <si>
    <r>
      <t>lb/ft</t>
    </r>
    <r>
      <rPr>
        <vertAlign val="superscript"/>
        <sz val="11"/>
        <color rgb="FF7030A0"/>
        <rFont val="Calibri"/>
        <family val="2"/>
        <scheme val="minor"/>
      </rPr>
      <t>3</t>
    </r>
  </si>
  <si>
    <t>Viscosity</t>
  </si>
  <si>
    <t>cP</t>
  </si>
  <si>
    <t>lb/ft.s</t>
  </si>
  <si>
    <t>@ Standard Conditions</t>
  </si>
  <si>
    <r>
      <t>ft</t>
    </r>
    <r>
      <rPr>
        <vertAlign val="superscript"/>
        <sz val="11"/>
        <color rgb="FF7030A0"/>
        <rFont val="Calibri"/>
        <family val="2"/>
        <scheme val="minor"/>
      </rPr>
      <t>3</t>
    </r>
    <r>
      <rPr>
        <sz val="11"/>
        <color rgb="FF7030A0"/>
        <rFont val="Calibri"/>
        <family val="2"/>
        <scheme val="minor"/>
      </rPr>
      <t>/min</t>
    </r>
  </si>
  <si>
    <t>Liquid</t>
  </si>
  <si>
    <t>Volumetric flowrate</t>
  </si>
  <si>
    <t>US gpm</t>
  </si>
  <si>
    <t>dyne/cm</t>
  </si>
  <si>
    <t>Calculation (In English Units)</t>
  </si>
  <si>
    <t>Area of Pipe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</si>
  <si>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</si>
  <si>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</t>
    </r>
  </si>
  <si>
    <t>ft/s</t>
  </si>
  <si>
    <t>Weight Flux, G</t>
  </si>
  <si>
    <r>
      <t>lb/ft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.s</t>
    </r>
  </si>
  <si>
    <r>
      <t>Liquid Hold up, C</t>
    </r>
    <r>
      <rPr>
        <vertAlign val="subscript"/>
        <sz val="11"/>
        <color theme="1"/>
        <rFont val="Calibri"/>
        <family val="2"/>
        <scheme val="minor"/>
      </rPr>
      <t>L</t>
    </r>
  </si>
  <si>
    <t>Superficial Velocity</t>
  </si>
  <si>
    <t>Froude Number, Fr</t>
  </si>
  <si>
    <t>Mixture Velocity, Vm</t>
  </si>
  <si>
    <t>Gravity constant, g</t>
  </si>
  <si>
    <r>
      <t>ft/s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</si>
  <si>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Mixture Viscosity, </t>
    </r>
    <r>
      <rPr>
        <sz val="11"/>
        <color theme="1"/>
        <rFont val="Calibri"/>
        <family val="2"/>
      </rPr>
      <t>µ</t>
    </r>
    <r>
      <rPr>
        <vertAlign val="subscript"/>
        <sz val="11"/>
        <color theme="1"/>
        <rFont val="Calibri"/>
        <family val="2"/>
      </rPr>
      <t>m</t>
    </r>
  </si>
  <si>
    <t>Flow Pattern Map</t>
  </si>
  <si>
    <t>L1*</t>
  </si>
  <si>
    <t>L2*</t>
  </si>
  <si>
    <t>L3*</t>
  </si>
  <si>
    <t>L4*</t>
  </si>
  <si>
    <t>Segregated</t>
  </si>
  <si>
    <t>Intermittent</t>
  </si>
  <si>
    <t>Check Flow regimes</t>
  </si>
  <si>
    <t>Distributed</t>
  </si>
  <si>
    <t>Transition</t>
  </si>
  <si>
    <t>Selected flow regime</t>
  </si>
  <si>
    <t>A</t>
  </si>
  <si>
    <t>B</t>
  </si>
  <si>
    <t>Selected</t>
  </si>
  <si>
    <r>
      <t>Liquid velocity number, N</t>
    </r>
    <r>
      <rPr>
        <vertAlign val="subscript"/>
        <sz val="11"/>
        <color theme="1"/>
        <rFont val="Calibri"/>
        <family val="2"/>
        <scheme val="minor"/>
      </rPr>
      <t>vl</t>
    </r>
  </si>
  <si>
    <t>Flow Direction</t>
  </si>
  <si>
    <t>uphill</t>
  </si>
  <si>
    <t>downhill</t>
  </si>
  <si>
    <t xml:space="preserve">° with horizontal </t>
  </si>
  <si>
    <t xml:space="preserve">Pipe Inclination angle </t>
  </si>
  <si>
    <r>
      <t xml:space="preserve">Correction factor, </t>
    </r>
    <r>
      <rPr>
        <sz val="11"/>
        <color theme="1"/>
        <rFont val="Calibri"/>
        <family val="2"/>
      </rPr>
      <t>β</t>
    </r>
  </si>
  <si>
    <t>Uphill Flow</t>
  </si>
  <si>
    <t>Downhill Flow</t>
  </si>
  <si>
    <t>All Flow regimes</t>
  </si>
  <si>
    <t>Liquid Holdup Correction Factor</t>
  </si>
  <si>
    <r>
      <t>B(</t>
    </r>
    <r>
      <rPr>
        <sz val="11"/>
        <color theme="1"/>
        <rFont val="Calibri"/>
        <family val="2"/>
      </rPr>
      <t>θ)</t>
    </r>
  </si>
  <si>
    <t>Check for negative values</t>
  </si>
  <si>
    <t>Inclination angle, θ</t>
  </si>
  <si>
    <t>radians</t>
  </si>
  <si>
    <r>
      <t>Liquid Holdup  E</t>
    </r>
    <r>
      <rPr>
        <b/>
        <vertAlign val="subscript"/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</rPr>
      <t>θ</t>
    </r>
    <r>
      <rPr>
        <b/>
        <sz val="11"/>
        <color theme="1"/>
        <rFont val="Calibri"/>
        <family val="2"/>
        <scheme val="minor"/>
      </rPr>
      <t>)</t>
    </r>
  </si>
  <si>
    <t>Two phase density</t>
  </si>
  <si>
    <r>
      <t>lb/ft</t>
    </r>
    <r>
      <rPr>
        <vertAlign val="superscript"/>
        <sz val="11"/>
        <color theme="1"/>
        <rFont val="Calibri"/>
        <family val="2"/>
        <scheme val="minor"/>
      </rPr>
      <t>3</t>
    </r>
  </si>
  <si>
    <t>gas/liquid Surface tension</t>
  </si>
  <si>
    <t>m</t>
  </si>
  <si>
    <t>Hydrostatic pressure difference</t>
  </si>
  <si>
    <t>Pipe Length</t>
  </si>
  <si>
    <t>DP due to hydrostatic head</t>
  </si>
  <si>
    <t>Pressure drop due to friction loss</t>
  </si>
  <si>
    <t>Friction factor ratio</t>
  </si>
  <si>
    <t>y</t>
  </si>
  <si>
    <t>ln(y)</t>
  </si>
  <si>
    <t>S</t>
  </si>
  <si>
    <t>S final</t>
  </si>
  <si>
    <r>
      <t>Friction factor ratio, f</t>
    </r>
    <r>
      <rPr>
        <vertAlign val="subscript"/>
        <sz val="11"/>
        <color theme="1"/>
        <rFont val="Calibri"/>
        <family val="2"/>
        <scheme val="minor"/>
      </rPr>
      <t>TP</t>
    </r>
    <r>
      <rPr>
        <sz val="11"/>
        <color theme="1"/>
        <rFont val="Calibri"/>
        <family val="2"/>
        <scheme val="minor"/>
      </rPr>
      <t>/f</t>
    </r>
    <r>
      <rPr>
        <vertAlign val="subscript"/>
        <sz val="11"/>
        <color theme="1"/>
        <rFont val="Calibri"/>
        <family val="2"/>
        <scheme val="minor"/>
      </rPr>
      <t>NS</t>
    </r>
  </si>
  <si>
    <t>No Slip Reynolds number</t>
  </si>
  <si>
    <t>Mixture density</t>
  </si>
  <si>
    <t>Friction factor estimate using Colebrook White equation</t>
  </si>
  <si>
    <t>Epsilon / D</t>
  </si>
  <si>
    <t>Re</t>
  </si>
  <si>
    <t>Iteration</t>
  </si>
  <si>
    <t>f</t>
  </si>
  <si>
    <t>Fanning friction factor</t>
  </si>
  <si>
    <t>Two phase friction factor</t>
  </si>
  <si>
    <t>ft</t>
  </si>
  <si>
    <t>DP due to friction loss</t>
  </si>
  <si>
    <t>Total pressure drop</t>
  </si>
  <si>
    <t>Results</t>
  </si>
  <si>
    <t>Flow pattern map</t>
  </si>
  <si>
    <t>Ek</t>
  </si>
  <si>
    <t>Correction factor due to acceleration</t>
  </si>
  <si>
    <t>DP due to Head</t>
  </si>
  <si>
    <r>
      <t>Liquid Holdup Volume Fraction Horizontal Flow E</t>
    </r>
    <r>
      <rPr>
        <b/>
        <vertAlign val="subscript"/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>(0)</t>
    </r>
  </si>
  <si>
    <r>
      <t xml:space="preserve">Inclination correction factor, </t>
    </r>
    <r>
      <rPr>
        <sz val="11"/>
        <color theme="1"/>
        <rFont val="Calibri"/>
        <family val="2"/>
      </rPr>
      <t>β</t>
    </r>
  </si>
  <si>
    <r>
      <t>Holdup volume fraction, E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(0)</t>
    </r>
  </si>
  <si>
    <r>
      <t>Inclined holdup v.f, E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</rPr>
      <t>θ)</t>
    </r>
  </si>
  <si>
    <t>Pressure drop due to head</t>
  </si>
  <si>
    <t>Pressure drop due to friction</t>
  </si>
  <si>
    <t>No Slip Reynold's Number</t>
  </si>
  <si>
    <r>
      <t>No Slip friction factor, f</t>
    </r>
    <r>
      <rPr>
        <vertAlign val="subscript"/>
        <sz val="11"/>
        <color theme="1"/>
        <rFont val="Calibri"/>
        <family val="2"/>
        <scheme val="minor"/>
      </rPr>
      <t>NS</t>
    </r>
  </si>
  <si>
    <t>Fanning</t>
  </si>
  <si>
    <r>
      <t>Two phase firction factor, f</t>
    </r>
    <r>
      <rPr>
        <vertAlign val="subscript"/>
        <sz val="11"/>
        <color theme="1"/>
        <rFont val="Calibri"/>
        <family val="2"/>
        <scheme val="minor"/>
      </rPr>
      <t>TP</t>
    </r>
  </si>
  <si>
    <t>DP due to friction</t>
  </si>
  <si>
    <t>Correction due to acceleration</t>
  </si>
  <si>
    <t>Pressure drop / Length</t>
  </si>
  <si>
    <t>psi / 100 ft</t>
  </si>
  <si>
    <t>bar / 100 mt</t>
  </si>
  <si>
    <t>Corrected Total Pressure drop</t>
  </si>
  <si>
    <t>Flow direction option menu</t>
  </si>
  <si>
    <r>
      <t>Check for if greater than C</t>
    </r>
    <r>
      <rPr>
        <i/>
        <vertAlign val="subscript"/>
        <sz val="11"/>
        <color theme="1"/>
        <rFont val="Calibri"/>
        <family val="2"/>
        <scheme val="minor"/>
      </rPr>
      <t>L</t>
    </r>
  </si>
  <si>
    <t>For Transition flow</t>
  </si>
  <si>
    <t>β</t>
  </si>
  <si>
    <r>
      <t>E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(0)</t>
    </r>
  </si>
  <si>
    <r>
      <t>E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</rPr>
      <t>θ</t>
    </r>
    <r>
      <rPr>
        <sz val="11"/>
        <color theme="1"/>
        <rFont val="Calibri"/>
        <family val="2"/>
        <scheme val="minor"/>
      </rPr>
      <t>)</t>
    </r>
  </si>
  <si>
    <t>Selected for transition flow</t>
  </si>
  <si>
    <t>Selected Liquid holdup</t>
  </si>
  <si>
    <t>Segreg.</t>
  </si>
  <si>
    <t>Intermit.</t>
  </si>
  <si>
    <t>Chemical Engineer's Guide</t>
  </si>
  <si>
    <t>CheGuide.com</t>
  </si>
  <si>
    <t>CheGuide</t>
  </si>
  <si>
    <t>30-Aug-15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</si>
</sst>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[$-14009]dd/mm/yy;@"/>
    <numFmt numFmtId="166" formatCode="0.0"/>
    <numFmt numFmtId="167" formatCode="0.0000"/>
    <numFmt numFmtId="168" formatCode="0.000000"/>
    <numFmt numFmtId="169" formatCode="0.00000"/>
    <numFmt numFmtId="170" formatCode="0.0E+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i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sz val="10"/>
      <color rgb="FF000000"/>
      <name val="Arial"/>
      <family val="2"/>
    </font>
    <font>
      <u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vertAlign val="superscript"/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/>
      <top/>
      <bottom style="hair">
        <color theme="6" tint="-0.49998474074526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164" fontId="0" fillId="0" borderId="0" xfId="0" applyNumberFormat="1"/>
    <xf numFmtId="164" fontId="2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horizontal="center" vertical="center"/>
    </xf>
    <xf numFmtId="164" fontId="0" fillId="0" borderId="0" xfId="0" applyNumberFormat="1" applyProtection="1"/>
    <xf numFmtId="164" fontId="5" fillId="0" borderId="0" xfId="0" applyNumberFormat="1" applyFont="1" applyBorder="1" applyProtection="1"/>
    <xf numFmtId="164" fontId="5" fillId="2" borderId="1" xfId="0" applyNumberFormat="1" applyFont="1" applyFill="1" applyBorder="1" applyAlignment="1" applyProtection="1">
      <alignment horizontal="left"/>
      <protection locked="0"/>
    </xf>
    <xf numFmtId="164" fontId="5" fillId="2" borderId="2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Protection="1"/>
    <xf numFmtId="165" fontId="5" fillId="2" borderId="1" xfId="0" quotePrefix="1" applyNumberFormat="1" applyFont="1" applyFill="1" applyBorder="1" applyAlignment="1" applyProtection="1">
      <alignment horizontal="left"/>
      <protection locked="0"/>
    </xf>
    <xf numFmtId="165" fontId="5" fillId="2" borderId="2" xfId="0" applyNumberFormat="1" applyFont="1" applyFill="1" applyBorder="1" applyAlignment="1" applyProtection="1">
      <alignment horizontal="left"/>
      <protection locked="0"/>
    </xf>
    <xf numFmtId="164" fontId="7" fillId="0" borderId="0" xfId="0" applyNumberFormat="1" applyFont="1" applyAlignment="1">
      <alignment horizontal="right" wrapText="1"/>
    </xf>
    <xf numFmtId="164" fontId="5" fillId="2" borderId="3" xfId="0" applyNumberFormat="1" applyFont="1" applyFill="1" applyBorder="1" applyAlignment="1" applyProtection="1">
      <protection locked="0"/>
    </xf>
    <xf numFmtId="164" fontId="0" fillId="0" borderId="0" xfId="0" applyNumberFormat="1" applyAlignment="1">
      <alignment wrapText="1"/>
    </xf>
    <xf numFmtId="164" fontId="5" fillId="2" borderId="4" xfId="0" applyNumberFormat="1" applyFont="1" applyFill="1" applyBorder="1" applyAlignment="1" applyProtection="1">
      <alignment horizontal="left"/>
      <protection locked="0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9" fillId="0" borderId="0" xfId="0" applyFont="1"/>
    <xf numFmtId="0" fontId="1" fillId="0" borderId="0" xfId="0" applyFont="1"/>
    <xf numFmtId="2" fontId="0" fillId="2" borderId="3" xfId="0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164" fontId="0" fillId="3" borderId="6" xfId="0" applyNumberFormat="1" applyFill="1" applyBorder="1"/>
    <xf numFmtId="166" fontId="0" fillId="3" borderId="8" xfId="0" applyNumberFormat="1" applyFill="1" applyBorder="1"/>
    <xf numFmtId="168" fontId="0" fillId="3" borderId="8" xfId="0" applyNumberFormat="1" applyFill="1" applyBorder="1"/>
    <xf numFmtId="0" fontId="0" fillId="0" borderId="0" xfId="0" applyFont="1"/>
    <xf numFmtId="2" fontId="0" fillId="3" borderId="6" xfId="0" applyNumberFormat="1" applyFill="1" applyBorder="1"/>
    <xf numFmtId="166" fontId="0" fillId="2" borderId="3" xfId="0" applyNumberFormat="1" applyFont="1" applyFill="1" applyBorder="1" applyAlignment="1" applyProtection="1">
      <protection locked="0"/>
    </xf>
    <xf numFmtId="1" fontId="0" fillId="2" borderId="3" xfId="0" applyNumberFormat="1" applyFont="1" applyFill="1" applyBorder="1" applyAlignment="1" applyProtection="1">
      <protection locked="0"/>
    </xf>
    <xf numFmtId="166" fontId="0" fillId="3" borderId="6" xfId="0" applyNumberFormat="1" applyFill="1" applyBorder="1"/>
    <xf numFmtId="2" fontId="0" fillId="0" borderId="0" xfId="0" applyNumberFormat="1"/>
    <xf numFmtId="11" fontId="0" fillId="0" borderId="0" xfId="0" applyNumberFormat="1"/>
    <xf numFmtId="11" fontId="0" fillId="3" borderId="6" xfId="0" applyNumberFormat="1" applyFill="1" applyBorder="1"/>
    <xf numFmtId="0" fontId="5" fillId="0" borderId="0" xfId="0" applyFont="1"/>
    <xf numFmtId="0" fontId="10" fillId="0" borderId="0" xfId="0" applyFont="1"/>
    <xf numFmtId="164" fontId="0" fillId="2" borderId="3" xfId="0" applyNumberFormat="1" applyFont="1" applyFill="1" applyBorder="1" applyAlignment="1" applyProtection="1">
      <protection locked="0"/>
    </xf>
    <xf numFmtId="0" fontId="5" fillId="0" borderId="0" xfId="0" quotePrefix="1" applyFont="1" applyAlignment="1">
      <alignment horizontal="left" indent="1"/>
    </xf>
    <xf numFmtId="167" fontId="0" fillId="0" borderId="0" xfId="0" applyNumberFormat="1"/>
    <xf numFmtId="166" fontId="0" fillId="0" borderId="0" xfId="0" applyNumberFormat="1"/>
    <xf numFmtId="0" fontId="17" fillId="0" borderId="0" xfId="0" applyFont="1"/>
    <xf numFmtId="169" fontId="0" fillId="0" borderId="0" xfId="0" applyNumberFormat="1"/>
    <xf numFmtId="168" fontId="0" fillId="0" borderId="0" xfId="0" applyNumberFormat="1" applyFill="1" applyBorder="1"/>
    <xf numFmtId="168" fontId="0" fillId="2" borderId="7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Border="1" applyAlignment="1">
      <alignment horizontal="left"/>
    </xf>
    <xf numFmtId="0" fontId="0" fillId="4" borderId="0" xfId="0" applyFill="1"/>
    <xf numFmtId="0" fontId="15" fillId="0" borderId="0" xfId="0" applyFont="1"/>
    <xf numFmtId="2" fontId="0" fillId="2" borderId="7" xfId="0" applyNumberFormat="1" applyFont="1" applyFill="1" applyBorder="1" applyAlignment="1" applyProtection="1">
      <protection locked="0"/>
    </xf>
    <xf numFmtId="164" fontId="0" fillId="3" borderId="0" xfId="0" applyNumberFormat="1" applyFill="1" applyBorder="1"/>
    <xf numFmtId="1" fontId="0" fillId="0" borderId="0" xfId="0" applyNumberFormat="1"/>
    <xf numFmtId="170" fontId="0" fillId="0" borderId="0" xfId="0" applyNumberFormat="1"/>
    <xf numFmtId="169" fontId="0" fillId="2" borderId="7" xfId="0" applyNumberFormat="1" applyFont="1" applyFill="1" applyBorder="1" applyAlignment="1" applyProtection="1">
      <protection locked="0"/>
    </xf>
    <xf numFmtId="1" fontId="0" fillId="3" borderId="6" xfId="0" applyNumberFormat="1" applyFill="1" applyBorder="1"/>
    <xf numFmtId="167" fontId="0" fillId="3" borderId="6" xfId="0" applyNumberFormat="1" applyFill="1" applyBorder="1"/>
    <xf numFmtId="0" fontId="20" fillId="0" borderId="0" xfId="0" applyFont="1" applyBorder="1" applyAlignment="1">
      <alignment horizontal="left"/>
    </xf>
    <xf numFmtId="0" fontId="21" fillId="0" borderId="0" xfId="0" applyFont="1"/>
    <xf numFmtId="0" fontId="10" fillId="0" borderId="0" xfId="0" applyFont="1" applyFill="1" applyBorder="1" applyAlignment="1">
      <alignment horizontal="left"/>
    </xf>
    <xf numFmtId="2" fontId="1" fillId="5" borderId="9" xfId="0" applyNumberFormat="1" applyFont="1" applyFill="1" applyBorder="1"/>
    <xf numFmtId="164" fontId="5" fillId="0" borderId="0" xfId="0" applyNumberFormat="1" applyFont="1" applyFill="1" applyBorder="1" applyAlignment="1" applyProtection="1">
      <protection locked="0"/>
    </xf>
    <xf numFmtId="0" fontId="0" fillId="0" borderId="9" xfId="0" applyBorder="1"/>
    <xf numFmtId="0" fontId="15" fillId="0" borderId="9" xfId="0" applyFont="1" applyBorder="1"/>
    <xf numFmtId="167" fontId="0" fillId="0" borderId="9" xfId="0" applyNumberFormat="1" applyBorder="1"/>
    <xf numFmtId="164" fontId="0" fillId="0" borderId="9" xfId="0" applyNumberFormat="1" applyBorder="1"/>
    <xf numFmtId="164" fontId="4" fillId="0" borderId="0" xfId="1" applyNumberFormat="1" applyProtection="1"/>
    <xf numFmtId="164" fontId="2" fillId="0" borderId="0" xfId="0" applyNumberFormat="1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8"/>
  <sheetViews>
    <sheetView showGridLines="0" tabSelected="1" zoomScaleNormal="100" workbookViewId="0">
      <selection activeCell="C7" sqref="C7"/>
    </sheetView>
  </sheetViews>
  <sheetFormatPr defaultRowHeight="15" x14ac:dyDescent="0.25"/>
  <cols>
    <col min="1" max="1" width="2.7109375" customWidth="1"/>
    <col min="2" max="2" width="10.42578125" customWidth="1"/>
    <col min="5" max="5" width="6.85546875" customWidth="1"/>
    <col min="6" max="6" width="9.140625" customWidth="1"/>
    <col min="10" max="10" width="10.7109375" customWidth="1"/>
  </cols>
  <sheetData>
    <row r="1" spans="2:11" x14ac:dyDescent="0.25">
      <c r="B1" s="1"/>
      <c r="C1" s="1"/>
      <c r="D1" s="1"/>
      <c r="E1" s="1"/>
      <c r="F1" s="1"/>
      <c r="G1" s="1"/>
      <c r="H1" s="1"/>
      <c r="I1" s="1"/>
    </row>
    <row r="2" spans="2:11" ht="18.75" x14ac:dyDescent="0.25">
      <c r="B2" s="62" t="s">
        <v>14</v>
      </c>
      <c r="C2" s="62"/>
      <c r="D2" s="62"/>
      <c r="E2" s="62"/>
      <c r="F2" s="62"/>
      <c r="G2" s="62"/>
      <c r="H2" s="62"/>
      <c r="I2" s="62"/>
      <c r="J2" s="62"/>
      <c r="K2" s="2"/>
    </row>
    <row r="3" spans="2:11" ht="18.75" x14ac:dyDescent="0.25">
      <c r="B3" s="3"/>
      <c r="C3" s="63"/>
      <c r="D3" s="63"/>
      <c r="E3" s="63"/>
      <c r="F3" s="63"/>
      <c r="G3" s="63"/>
      <c r="H3" s="63"/>
      <c r="I3" s="63"/>
      <c r="J3" s="3"/>
      <c r="K3" s="2"/>
    </row>
    <row r="4" spans="2:11" x14ac:dyDescent="0.25">
      <c r="B4" s="61" t="s">
        <v>141</v>
      </c>
      <c r="C4" s="4"/>
      <c r="D4" s="4"/>
      <c r="E4" s="4"/>
      <c r="F4" s="4"/>
      <c r="H4" s="5" t="s">
        <v>0</v>
      </c>
      <c r="J4" s="6" t="s">
        <v>1</v>
      </c>
      <c r="K4" s="7"/>
    </row>
    <row r="5" spans="2:11" x14ac:dyDescent="0.25">
      <c r="B5" s="8" t="s">
        <v>140</v>
      </c>
      <c r="C5" s="4"/>
      <c r="D5" s="4"/>
      <c r="E5" s="4"/>
      <c r="F5" s="4"/>
      <c r="H5" s="5" t="s">
        <v>2</v>
      </c>
      <c r="J5" s="6" t="s">
        <v>3</v>
      </c>
      <c r="K5" s="7"/>
    </row>
    <row r="6" spans="2:11" x14ac:dyDescent="0.25">
      <c r="B6" s="4"/>
      <c r="C6" s="4"/>
      <c r="D6" s="4"/>
      <c r="E6" s="4"/>
      <c r="F6" s="4"/>
      <c r="H6" s="5" t="s">
        <v>4</v>
      </c>
      <c r="J6" s="9" t="s">
        <v>143</v>
      </c>
      <c r="K6" s="10"/>
    </row>
    <row r="7" spans="2:11" ht="15" customHeight="1" x14ac:dyDescent="0.25">
      <c r="B7" s="11" t="s">
        <v>5</v>
      </c>
      <c r="C7" s="12"/>
      <c r="D7" s="56"/>
      <c r="E7" s="13"/>
      <c r="F7" s="13"/>
      <c r="H7" s="5" t="s">
        <v>6</v>
      </c>
      <c r="J7" s="14" t="s">
        <v>142</v>
      </c>
      <c r="K7" s="15"/>
    </row>
    <row r="9" spans="2:11" x14ac:dyDescent="0.25">
      <c r="B9" s="18" t="s">
        <v>9</v>
      </c>
      <c r="F9" s="16" t="s">
        <v>7</v>
      </c>
      <c r="G9" s="17"/>
      <c r="H9" s="17"/>
      <c r="I9" s="16" t="s">
        <v>8</v>
      </c>
    </row>
    <row r="10" spans="2:11" x14ac:dyDescent="0.25">
      <c r="B10" t="s">
        <v>10</v>
      </c>
      <c r="F10" s="19">
        <v>50.673000000000002</v>
      </c>
      <c r="G10" s="20" t="s">
        <v>11</v>
      </c>
      <c r="I10" s="21">
        <f>F10/25.4</f>
        <v>1.9950000000000001</v>
      </c>
      <c r="J10" s="20" t="s">
        <v>12</v>
      </c>
    </row>
    <row r="11" spans="2:11" x14ac:dyDescent="0.25">
      <c r="B11" t="s">
        <v>15</v>
      </c>
      <c r="F11" s="49">
        <v>1.8E-3</v>
      </c>
      <c r="G11" s="20" t="s">
        <v>11</v>
      </c>
      <c r="I11" s="23">
        <f>F11/25.4</f>
        <v>7.0866141732283471E-5</v>
      </c>
      <c r="J11" s="20" t="s">
        <v>12</v>
      </c>
    </row>
    <row r="12" spans="2:11" x14ac:dyDescent="0.25">
      <c r="B12" t="s">
        <v>88</v>
      </c>
      <c r="F12" s="45">
        <v>100</v>
      </c>
      <c r="G12" s="20" t="s">
        <v>86</v>
      </c>
      <c r="I12" s="46">
        <f>F12/0.3048</f>
        <v>328.08398950131232</v>
      </c>
      <c r="J12" s="20" t="s">
        <v>13</v>
      </c>
    </row>
    <row r="13" spans="2:11" x14ac:dyDescent="0.25">
      <c r="B13" t="s">
        <v>68</v>
      </c>
      <c r="F13" s="41" t="s">
        <v>69</v>
      </c>
      <c r="G13" s="20"/>
      <c r="I13" s="40"/>
      <c r="J13" s="20"/>
    </row>
    <row r="14" spans="2:11" x14ac:dyDescent="0.25">
      <c r="B14" t="s">
        <v>72</v>
      </c>
      <c r="F14" s="27">
        <v>90</v>
      </c>
      <c r="G14" s="42" t="s">
        <v>71</v>
      </c>
      <c r="I14" s="40"/>
      <c r="J14" s="20"/>
    </row>
    <row r="16" spans="2:11" x14ac:dyDescent="0.25">
      <c r="B16" s="18" t="s">
        <v>16</v>
      </c>
    </row>
    <row r="17" spans="2:10" x14ac:dyDescent="0.25">
      <c r="B17" t="s">
        <v>20</v>
      </c>
      <c r="F17" s="26">
        <v>32.222000000000001</v>
      </c>
      <c r="G17" s="20" t="s">
        <v>21</v>
      </c>
      <c r="I17" s="25">
        <f>F17*9/5+32</f>
        <v>89.999600000000001</v>
      </c>
      <c r="J17" s="20" t="s">
        <v>25</v>
      </c>
    </row>
    <row r="18" spans="2:10" x14ac:dyDescent="0.25">
      <c r="B18" s="24" t="s">
        <v>22</v>
      </c>
      <c r="F18" s="27">
        <v>118.56914</v>
      </c>
      <c r="G18" s="20" t="s">
        <v>23</v>
      </c>
      <c r="I18" s="28">
        <f>F18*14.503774</f>
        <v>1719.70000993436</v>
      </c>
      <c r="J18" s="20" t="s">
        <v>24</v>
      </c>
    </row>
    <row r="19" spans="2:10" ht="17.25" x14ac:dyDescent="0.25">
      <c r="B19" t="s">
        <v>36</v>
      </c>
      <c r="F19" s="26">
        <v>9.0268443999999999</v>
      </c>
      <c r="G19" s="20" t="s">
        <v>18</v>
      </c>
      <c r="I19" s="25">
        <f>F19/0.3048^3/60</f>
        <v>5.3130000255455929</v>
      </c>
      <c r="J19" s="20" t="s">
        <v>34</v>
      </c>
    </row>
    <row r="20" spans="2:10" ht="17.25" x14ac:dyDescent="0.25">
      <c r="B20" s="35" t="s">
        <v>33</v>
      </c>
      <c r="F20" s="22">
        <f xml:space="preserve"> (F18*F19/(F17+273.15))*(273.15/1.01325)</f>
        <v>944.85029986802761</v>
      </c>
      <c r="G20" s="20" t="s">
        <v>19</v>
      </c>
      <c r="I20" s="22">
        <f>(I19*I18/(I17+459.67))*(60+459.67)/14.7</f>
        <v>587.62613717729926</v>
      </c>
      <c r="J20" s="33" t="s">
        <v>26</v>
      </c>
    </row>
    <row r="21" spans="2:10" ht="17.25" x14ac:dyDescent="0.25">
      <c r="B21" t="s">
        <v>27</v>
      </c>
      <c r="F21" s="26">
        <v>141.33090000000001</v>
      </c>
      <c r="G21" s="20" t="s">
        <v>28</v>
      </c>
      <c r="I21" s="21">
        <f>F21/16.018463</f>
        <v>8.8230000593689919</v>
      </c>
      <c r="J21" s="33" t="s">
        <v>29</v>
      </c>
    </row>
    <row r="22" spans="2:10" ht="15" customHeight="1" x14ac:dyDescent="0.25">
      <c r="B22" t="s">
        <v>30</v>
      </c>
      <c r="F22" s="34">
        <v>0.02</v>
      </c>
      <c r="G22" s="20" t="s">
        <v>31</v>
      </c>
      <c r="I22" s="31">
        <f>F22/1488.1639</f>
        <v>1.3439379896260083E-5</v>
      </c>
      <c r="J22" s="33" t="s">
        <v>32</v>
      </c>
    </row>
    <row r="24" spans="2:10" x14ac:dyDescent="0.25">
      <c r="B24" s="18" t="s">
        <v>35</v>
      </c>
    </row>
    <row r="25" spans="2:10" ht="17.25" x14ac:dyDescent="0.25">
      <c r="B25" t="s">
        <v>36</v>
      </c>
      <c r="F25" s="19">
        <v>4.7504341999999999</v>
      </c>
      <c r="G25" s="20" t="s">
        <v>18</v>
      </c>
      <c r="I25" s="21">
        <f>F25*4.4028675</f>
        <v>20.915532350068499</v>
      </c>
      <c r="J25" s="33" t="s">
        <v>37</v>
      </c>
    </row>
    <row r="26" spans="2:10" ht="17.25" x14ac:dyDescent="0.25">
      <c r="B26" t="s">
        <v>27</v>
      </c>
      <c r="F26" s="26">
        <v>613.82752000000005</v>
      </c>
      <c r="G26" s="20" t="s">
        <v>28</v>
      </c>
      <c r="I26" s="21">
        <f>F26/16.018463</f>
        <v>38.320001113714845</v>
      </c>
      <c r="J26" s="33" t="s">
        <v>29</v>
      </c>
    </row>
    <row r="27" spans="2:10" x14ac:dyDescent="0.25">
      <c r="B27" t="s">
        <v>30</v>
      </c>
      <c r="F27" s="34">
        <v>0.5</v>
      </c>
      <c r="G27" s="20" t="s">
        <v>31</v>
      </c>
      <c r="I27" s="31">
        <f>F27/1488.1639</f>
        <v>3.3598449740650206E-4</v>
      </c>
      <c r="J27" s="33" t="s">
        <v>32</v>
      </c>
    </row>
    <row r="28" spans="2:10" x14ac:dyDescent="0.25">
      <c r="B28" t="s">
        <v>85</v>
      </c>
      <c r="F28" s="26">
        <v>28</v>
      </c>
      <c r="G28" s="20" t="s">
        <v>38</v>
      </c>
    </row>
    <row r="30" spans="2:10" x14ac:dyDescent="0.25">
      <c r="B30" s="18" t="s">
        <v>109</v>
      </c>
    </row>
    <row r="31" spans="2:10" x14ac:dyDescent="0.25">
      <c r="B31" t="s">
        <v>110</v>
      </c>
      <c r="F31" s="21" t="str">
        <f>F70</f>
        <v>Intermittent</v>
      </c>
      <c r="G31" s="21"/>
    </row>
    <row r="32" spans="2:10" x14ac:dyDescent="0.25">
      <c r="B32" s="53" t="s">
        <v>118</v>
      </c>
    </row>
    <row r="33" spans="2:10" ht="18" x14ac:dyDescent="0.35">
      <c r="B33" t="s">
        <v>116</v>
      </c>
      <c r="F33" s="21">
        <f>F79</f>
        <v>0.46188083197972346</v>
      </c>
      <c r="I33" s="21">
        <f>F33</f>
        <v>0.46188083197972346</v>
      </c>
      <c r="J33" s="33"/>
    </row>
    <row r="34" spans="2:10" x14ac:dyDescent="0.25">
      <c r="B34" t="s">
        <v>115</v>
      </c>
      <c r="F34" s="21">
        <f>F95</f>
        <v>1.0551554743294835</v>
      </c>
      <c r="I34" s="21">
        <f>F34</f>
        <v>1.0551554743294835</v>
      </c>
    </row>
    <row r="35" spans="2:10" ht="18" x14ac:dyDescent="0.35">
      <c r="B35" t="s">
        <v>117</v>
      </c>
      <c r="F35" s="21">
        <f>F100</f>
        <v>0.4873560883512616</v>
      </c>
      <c r="I35" s="21">
        <f>F35</f>
        <v>0.4873560883512616</v>
      </c>
    </row>
    <row r="36" spans="2:10" ht="17.25" x14ac:dyDescent="0.25">
      <c r="B36" t="s">
        <v>98</v>
      </c>
      <c r="F36" s="25">
        <f>16.018463*I36</f>
        <v>371.60500448239253</v>
      </c>
      <c r="G36" s="20" t="s">
        <v>28</v>
      </c>
      <c r="I36" s="25">
        <f>F102</f>
        <v>23.198543111308027</v>
      </c>
      <c r="J36" s="33" t="s">
        <v>29</v>
      </c>
    </row>
    <row r="37" spans="2:10" x14ac:dyDescent="0.25">
      <c r="B37" t="s">
        <v>113</v>
      </c>
      <c r="F37" s="25">
        <f>I37/14.503774</f>
        <v>3.6442002452527005</v>
      </c>
      <c r="G37" s="20" t="s">
        <v>23</v>
      </c>
      <c r="I37" s="25">
        <f>F103</f>
        <v>52.854656767889743</v>
      </c>
      <c r="J37" s="33" t="s">
        <v>24</v>
      </c>
    </row>
    <row r="38" spans="2:10" x14ac:dyDescent="0.25">
      <c r="B38" s="53" t="s">
        <v>119</v>
      </c>
    </row>
    <row r="39" spans="2:10" x14ac:dyDescent="0.25">
      <c r="B39" t="s">
        <v>91</v>
      </c>
      <c r="F39" s="21">
        <f>F111</f>
        <v>1.4448337327523852</v>
      </c>
      <c r="I39" s="21">
        <f>F39</f>
        <v>1.4448337327523852</v>
      </c>
    </row>
    <row r="40" spans="2:10" x14ac:dyDescent="0.25">
      <c r="B40" t="s">
        <v>120</v>
      </c>
      <c r="F40" s="50">
        <f>F113</f>
        <v>157713.03274986742</v>
      </c>
      <c r="I40" s="50">
        <f>F40</f>
        <v>157713.03274986742</v>
      </c>
    </row>
    <row r="41" spans="2:10" ht="18" x14ac:dyDescent="0.35">
      <c r="B41" t="s">
        <v>121</v>
      </c>
      <c r="F41" s="51">
        <f>F128</f>
        <v>4.1597263535499652E-3</v>
      </c>
      <c r="G41" s="52" t="s">
        <v>122</v>
      </c>
      <c r="I41" s="51">
        <f>F41</f>
        <v>4.1597263535499652E-3</v>
      </c>
      <c r="J41" s="52" t="s">
        <v>122</v>
      </c>
    </row>
    <row r="42" spans="2:10" ht="18" x14ac:dyDescent="0.35">
      <c r="B42" t="s">
        <v>123</v>
      </c>
      <c r="F42" s="51">
        <f>F131</f>
        <v>6.0101129546280647E-3</v>
      </c>
      <c r="G42" s="52" t="s">
        <v>122</v>
      </c>
      <c r="I42" s="51">
        <f>F42</f>
        <v>6.0101129546280647E-3</v>
      </c>
      <c r="J42" s="52" t="s">
        <v>122</v>
      </c>
    </row>
    <row r="43" spans="2:10" x14ac:dyDescent="0.25">
      <c r="B43" t="s">
        <v>124</v>
      </c>
      <c r="F43" s="25">
        <f>I43/14.503774</f>
        <v>0.25989688411207906</v>
      </c>
      <c r="G43" s="20" t="s">
        <v>23</v>
      </c>
      <c r="I43" s="25">
        <f>F132</f>
        <v>3.7694856704657851</v>
      </c>
      <c r="J43" s="33" t="s">
        <v>24</v>
      </c>
    </row>
    <row r="44" spans="2:10" x14ac:dyDescent="0.25">
      <c r="B44" t="s">
        <v>108</v>
      </c>
      <c r="F44" s="25">
        <f>I44/14.503774</f>
        <v>3.9040971293647795</v>
      </c>
      <c r="G44" s="20" t="s">
        <v>23</v>
      </c>
      <c r="I44" s="25">
        <f>F134</f>
        <v>56.624142438355527</v>
      </c>
      <c r="J44" s="33" t="s">
        <v>24</v>
      </c>
    </row>
    <row r="45" spans="2:10" x14ac:dyDescent="0.25">
      <c r="B45" t="s">
        <v>125</v>
      </c>
      <c r="F45" s="46">
        <f>I45</f>
        <v>0.98935167736773044</v>
      </c>
      <c r="I45" s="46">
        <f>1-F137</f>
        <v>0.98935167736773044</v>
      </c>
    </row>
    <row r="46" spans="2:10" x14ac:dyDescent="0.25">
      <c r="B46" t="s">
        <v>129</v>
      </c>
      <c r="F46" s="55">
        <f>I46/14.503774</f>
        <v>3.9461166526265186</v>
      </c>
      <c r="G46" s="20" t="s">
        <v>23</v>
      </c>
      <c r="I46" s="55">
        <f>I44/I45</f>
        <v>57.233584107331531</v>
      </c>
      <c r="J46" s="33" t="s">
        <v>24</v>
      </c>
    </row>
    <row r="47" spans="2:10" x14ac:dyDescent="0.25">
      <c r="B47" t="s">
        <v>126</v>
      </c>
      <c r="F47" s="25">
        <f>F46/F12*100</f>
        <v>3.9461166526265181</v>
      </c>
      <c r="G47" s="54" t="s">
        <v>128</v>
      </c>
      <c r="I47" s="25">
        <f>I46/I12*100</f>
        <v>17.444796435914654</v>
      </c>
      <c r="J47" s="33" t="s">
        <v>127</v>
      </c>
    </row>
    <row r="50" spans="2:10" x14ac:dyDescent="0.25">
      <c r="B50" s="38" t="s">
        <v>39</v>
      </c>
    </row>
    <row r="51" spans="2:10" ht="17.25" x14ac:dyDescent="0.25">
      <c r="B51" t="s">
        <v>40</v>
      </c>
      <c r="F51" s="36">
        <f>PI()*(I10/12)^2/4</f>
        <v>2.1707668925527286E-2</v>
      </c>
      <c r="G51" t="s">
        <v>41</v>
      </c>
    </row>
    <row r="52" spans="2:10" ht="17.25" x14ac:dyDescent="0.25">
      <c r="B52" t="s">
        <v>50</v>
      </c>
      <c r="F52">
        <v>32.173999999999999</v>
      </c>
      <c r="G52" t="s">
        <v>51</v>
      </c>
    </row>
    <row r="53" spans="2:10" x14ac:dyDescent="0.25">
      <c r="B53" s="18"/>
      <c r="F53" s="18" t="s">
        <v>35</v>
      </c>
      <c r="I53" s="18" t="s">
        <v>16</v>
      </c>
    </row>
    <row r="54" spans="2:10" ht="17.25" x14ac:dyDescent="0.25">
      <c r="B54" t="s">
        <v>17</v>
      </c>
      <c r="F54">
        <f>(F25/0.3048^3)/3600</f>
        <v>4.6600000154267011E-2</v>
      </c>
      <c r="G54" t="s">
        <v>42</v>
      </c>
      <c r="I54" s="39">
        <f>I19/60</f>
        <v>8.8550000425759876E-2</v>
      </c>
      <c r="J54" t="s">
        <v>42</v>
      </c>
    </row>
    <row r="55" spans="2:10" x14ac:dyDescent="0.25">
      <c r="B55" t="s">
        <v>47</v>
      </c>
      <c r="F55" s="1">
        <f>F54/F51</f>
        <v>2.1467067843230008</v>
      </c>
      <c r="G55" t="s">
        <v>43</v>
      </c>
      <c r="I55" s="1">
        <f>I54/F51</f>
        <v>4.0792035630149526</v>
      </c>
      <c r="J55" t="s">
        <v>43</v>
      </c>
    </row>
    <row r="56" spans="2:10" ht="17.25" x14ac:dyDescent="0.25">
      <c r="B56" t="s">
        <v>44</v>
      </c>
      <c r="F56" s="29">
        <f>F55*I26</f>
        <v>82.261806366076598</v>
      </c>
      <c r="G56" t="s">
        <v>45</v>
      </c>
      <c r="I56" s="37">
        <f>I55*I21</f>
        <v>35.990813278659132</v>
      </c>
      <c r="J56" t="s">
        <v>45</v>
      </c>
    </row>
    <row r="57" spans="2:10" x14ac:dyDescent="0.25">
      <c r="F57" s="29"/>
      <c r="I57" s="37"/>
    </row>
    <row r="58" spans="2:10" x14ac:dyDescent="0.25">
      <c r="B58" t="s">
        <v>49</v>
      </c>
      <c r="F58" s="29">
        <f>F55+I55</f>
        <v>6.2259103473379529</v>
      </c>
      <c r="G58" t="s">
        <v>43</v>
      </c>
    </row>
    <row r="59" spans="2:10" ht="18" x14ac:dyDescent="0.35">
      <c r="B59" t="s">
        <v>46</v>
      </c>
      <c r="F59" s="1">
        <f>F54/(F54+I54)</f>
        <v>0.34480207143375907</v>
      </c>
    </row>
    <row r="60" spans="2:10" x14ac:dyDescent="0.25">
      <c r="B60" t="s">
        <v>48</v>
      </c>
      <c r="F60" s="29">
        <f>F58^2/(F52*(I10/12))</f>
        <v>7.2466788254448744</v>
      </c>
    </row>
    <row r="61" spans="2:10" ht="18" x14ac:dyDescent="0.35">
      <c r="B61" t="s">
        <v>52</v>
      </c>
      <c r="F61" s="30">
        <f>F59*I27+(1-F59)*I22</f>
        <v>1.2465360454463675E-4</v>
      </c>
      <c r="I61" s="30"/>
    </row>
    <row r="62" spans="2:10" ht="17.25" x14ac:dyDescent="0.25">
      <c r="B62" t="s">
        <v>98</v>
      </c>
      <c r="F62" s="29">
        <f>F59*I26+I21*(1-F59)</f>
        <v>18.993627123991217</v>
      </c>
      <c r="G62" t="s">
        <v>84</v>
      </c>
      <c r="I62" s="29"/>
      <c r="J62" s="29"/>
    </row>
    <row r="64" spans="2:10" x14ac:dyDescent="0.25">
      <c r="B64" s="18" t="s">
        <v>53</v>
      </c>
      <c r="H64" s="32" t="s">
        <v>60</v>
      </c>
    </row>
    <row r="65" spans="2:10" x14ac:dyDescent="0.25">
      <c r="B65" t="s">
        <v>54</v>
      </c>
      <c r="F65" s="36">
        <f>316*F59^0.302</f>
        <v>229.10426929323319</v>
      </c>
      <c r="H65" t="s">
        <v>58</v>
      </c>
      <c r="J65" t="b">
        <f>IF(OR(AND(F59&lt;0.01,F60&lt;F65),AND(F59&gt;=0.01,F60&lt;F66)),TRUE,FALSE)</f>
        <v>0</v>
      </c>
    </row>
    <row r="66" spans="2:10" x14ac:dyDescent="0.25">
      <c r="B66" t="s">
        <v>55</v>
      </c>
      <c r="F66" s="36">
        <f>0.0009252*F59^-2.4684</f>
        <v>1.2814396753714595E-2</v>
      </c>
      <c r="H66" t="s">
        <v>59</v>
      </c>
      <c r="J66" t="b">
        <f>IF(OR(AND(F59&gt;=0.01,F59&lt;0.4,F60&gt;F67,F60&lt;=F65),AND(F59&gt;=0.4,F60&gt;F67,F60&lt;=F68)),TRUE,FALSE)</f>
        <v>1</v>
      </c>
    </row>
    <row r="67" spans="2:10" x14ac:dyDescent="0.25">
      <c r="B67" t="s">
        <v>56</v>
      </c>
      <c r="F67" s="36">
        <f>0.1*F59^-1.4516</f>
        <v>0.46909800091368148</v>
      </c>
      <c r="H67" t="s">
        <v>61</v>
      </c>
      <c r="J67" t="b">
        <f>IF(OR(AND(F59&lt;0.4,F60&gt;=F68),AND(F59&gt;=0.4,F60&gt;F68)),TRUE,FALSE)</f>
        <v>0</v>
      </c>
    </row>
    <row r="68" spans="2:10" x14ac:dyDescent="0.25">
      <c r="B68" t="s">
        <v>57</v>
      </c>
      <c r="F68" s="36">
        <f>0.5*F59^-6.738</f>
        <v>652.8662911982575</v>
      </c>
      <c r="H68" t="s">
        <v>62</v>
      </c>
      <c r="J68" t="b">
        <f>IF(AND(F60&gt;F66,F60&lt;F67),TRUE,FALSE)</f>
        <v>0</v>
      </c>
    </row>
    <row r="70" spans="2:10" x14ac:dyDescent="0.25">
      <c r="B70" s="32" t="s">
        <v>63</v>
      </c>
      <c r="F70" s="18" t="str">
        <f>IF(J65,H65,IF(J66,H66,IF(J67,H67,IF(J68,H68,""))))</f>
        <v>Intermittent</v>
      </c>
    </row>
    <row r="71" spans="2:10" x14ac:dyDescent="0.25">
      <c r="B71" s="32"/>
      <c r="F71" s="18"/>
    </row>
    <row r="72" spans="2:10" x14ac:dyDescent="0.25">
      <c r="B72" s="38" t="s">
        <v>87</v>
      </c>
    </row>
    <row r="73" spans="2:10" ht="18" x14ac:dyDescent="0.35">
      <c r="B73" s="18" t="s">
        <v>114</v>
      </c>
    </row>
    <row r="74" spans="2:10" x14ac:dyDescent="0.25">
      <c r="B74" t="s">
        <v>58</v>
      </c>
      <c r="F74" s="36">
        <f>0.98*F59^0.4846/F60^0.0868</f>
        <v>0.49257500052548064</v>
      </c>
      <c r="H74" t="s">
        <v>64</v>
      </c>
      <c r="I74" s="29">
        <f>(F67-F60)/(F67-F66)</f>
        <v>-14.853877638248568</v>
      </c>
    </row>
    <row r="75" spans="2:10" x14ac:dyDescent="0.25">
      <c r="B75" t="s">
        <v>59</v>
      </c>
      <c r="F75" s="36">
        <f>0.845*F59^0.5351/F60^0.0173</f>
        <v>0.46188083197972346</v>
      </c>
      <c r="H75" t="s">
        <v>65</v>
      </c>
      <c r="I75" s="29">
        <f>1-I74</f>
        <v>15.853877638248568</v>
      </c>
    </row>
    <row r="76" spans="2:10" x14ac:dyDescent="0.25">
      <c r="B76" t="s">
        <v>61</v>
      </c>
      <c r="F76" s="36">
        <f>1.065*F59^0.5824/F60^0.0609</f>
        <v>0.50774754464736027</v>
      </c>
    </row>
    <row r="78" spans="2:10" x14ac:dyDescent="0.25">
      <c r="B78" s="32" t="s">
        <v>66</v>
      </c>
      <c r="F78" s="36">
        <f>IF(F70=B74,F74,IF(F70=B75,F75,IF(F70=B76,F76,1)))</f>
        <v>0.46188083197972346</v>
      </c>
    </row>
    <row r="79" spans="2:10" ht="18" x14ac:dyDescent="0.35">
      <c r="B79" s="32" t="s">
        <v>131</v>
      </c>
      <c r="F79" s="36">
        <f>IF(F78&gt;F59,F78,F59)</f>
        <v>0.46188083197972346</v>
      </c>
    </row>
    <row r="81" spans="2:11" x14ac:dyDescent="0.25">
      <c r="B81" s="18" t="s">
        <v>77</v>
      </c>
    </row>
    <row r="82" spans="2:11" ht="18" x14ac:dyDescent="0.35">
      <c r="B82" t="s">
        <v>67</v>
      </c>
      <c r="F82" s="29">
        <f>1.938*F55*(I26/F28)^0.25</f>
        <v>4.4998016637785385</v>
      </c>
      <c r="H82" s="32" t="s">
        <v>130</v>
      </c>
      <c r="K82" s="43" t="s">
        <v>69</v>
      </c>
    </row>
    <row r="83" spans="2:11" x14ac:dyDescent="0.25">
      <c r="B83" t="s">
        <v>73</v>
      </c>
      <c r="K83" s="43" t="s">
        <v>70</v>
      </c>
    </row>
    <row r="84" spans="2:11" x14ac:dyDescent="0.25">
      <c r="B84" s="17" t="s">
        <v>74</v>
      </c>
    </row>
    <row r="85" spans="2:11" x14ac:dyDescent="0.25">
      <c r="B85" t="s">
        <v>58</v>
      </c>
      <c r="F85" s="36">
        <f>(1-F59)*LN((0.011*F82^3.539)/(F59^3.768*F60^1.614))</f>
        <v>1.0669413094611173</v>
      </c>
    </row>
    <row r="86" spans="2:11" x14ac:dyDescent="0.25">
      <c r="B86" t="s">
        <v>59</v>
      </c>
      <c r="F86" s="36">
        <f>(1-F59)*LN((2.96*F59^0.305*F60^0.0978)/F82^0.4473)</f>
        <v>0.18435497548134688</v>
      </c>
    </row>
    <row r="87" spans="2:11" x14ac:dyDescent="0.25">
      <c r="B87" t="s">
        <v>61</v>
      </c>
      <c r="F87" s="36">
        <v>0</v>
      </c>
    </row>
    <row r="88" spans="2:11" x14ac:dyDescent="0.25">
      <c r="B88" s="17" t="s">
        <v>75</v>
      </c>
      <c r="F88" s="36"/>
    </row>
    <row r="89" spans="2:11" x14ac:dyDescent="0.25">
      <c r="B89" t="s">
        <v>76</v>
      </c>
      <c r="F89" s="36">
        <f>(1-F59)*LN((4.7*F82^0.1244)/(F59^0.3692*F60^0.5056))</f>
        <v>0.73802811580545513</v>
      </c>
    </row>
    <row r="91" spans="2:11" x14ac:dyDescent="0.25">
      <c r="B91" s="32" t="s">
        <v>66</v>
      </c>
      <c r="F91" s="36">
        <f>IF(F13="uphill",IF(F70=B85,F85,IF(F70=B86,F86,F87)),F89)</f>
        <v>0.18435497548134688</v>
      </c>
    </row>
    <row r="92" spans="2:11" x14ac:dyDescent="0.25">
      <c r="B92" t="s">
        <v>79</v>
      </c>
      <c r="F92" s="36">
        <f>IF(F91&lt;=0,0,F91)</f>
        <v>0.18435497548134688</v>
      </c>
    </row>
    <row r="93" spans="2:11" x14ac:dyDescent="0.25">
      <c r="F93" s="36"/>
    </row>
    <row r="94" spans="2:11" x14ac:dyDescent="0.25">
      <c r="B94" s="44" t="s">
        <v>80</v>
      </c>
      <c r="F94" s="29">
        <f>F14*PI()/180</f>
        <v>1.5707963267948966</v>
      </c>
      <c r="G94" t="s">
        <v>81</v>
      </c>
    </row>
    <row r="95" spans="2:11" x14ac:dyDescent="0.25">
      <c r="B95" t="s">
        <v>78</v>
      </c>
      <c r="F95" s="1">
        <f>1+F92*(SIN(1.8*$F$94)-(1/3)*SIN(1.8*$F$94)^3)</f>
        <v>1.0551554743294835</v>
      </c>
      <c r="H95" s="29"/>
    </row>
    <row r="97" spans="2:11" ht="18" x14ac:dyDescent="0.35">
      <c r="B97" s="18" t="s">
        <v>82</v>
      </c>
      <c r="G97" s="57"/>
      <c r="H97" s="57" t="s">
        <v>134</v>
      </c>
      <c r="I97" s="58" t="s">
        <v>133</v>
      </c>
      <c r="J97" s="57" t="s">
        <v>78</v>
      </c>
      <c r="K97" s="57" t="s">
        <v>135</v>
      </c>
    </row>
    <row r="98" spans="2:11" x14ac:dyDescent="0.25">
      <c r="B98" t="s">
        <v>132</v>
      </c>
      <c r="F98">
        <f>K98*I74+I75*K99</f>
        <v>-1.9257006375027332</v>
      </c>
      <c r="G98" s="57" t="s">
        <v>138</v>
      </c>
      <c r="H98" s="59">
        <f>F74</f>
        <v>0.49257500052548064</v>
      </c>
      <c r="I98" s="59">
        <f>IF(F13="uphill",F85,F89)</f>
        <v>1.0669413094611173</v>
      </c>
      <c r="J98" s="60">
        <f>1+I98*(SIN(1.8*$F$94)-(1/3)*SIN(1.8*$F$94)^3)</f>
        <v>1.319208385081001</v>
      </c>
      <c r="K98" s="60">
        <f>IF(J98&lt;=1,H98,H98*J98)</f>
        <v>0.64980907097449259</v>
      </c>
    </row>
    <row r="99" spans="2:11" x14ac:dyDescent="0.25">
      <c r="B99" t="s">
        <v>136</v>
      </c>
      <c r="F99" s="36">
        <f>IF(F98&lt;=F59,F59,F98)</f>
        <v>0.34480207143375907</v>
      </c>
      <c r="G99" s="57" t="s">
        <v>139</v>
      </c>
      <c r="H99" s="59">
        <f>F75</f>
        <v>0.46188083197972346</v>
      </c>
      <c r="I99" s="59">
        <f>IF(F13="uphill",F86,F89)</f>
        <v>0.18435497548134688</v>
      </c>
      <c r="J99" s="60">
        <f>1+I99*(SIN(1.8*$F$94)-(1/3)*SIN(1.8*$F$94)^3)</f>
        <v>1.0551554743294835</v>
      </c>
      <c r="K99" s="60">
        <f>IF(J99&lt;=1,H99,H99*J99)</f>
        <v>0.4873560883512616</v>
      </c>
    </row>
    <row r="100" spans="2:11" x14ac:dyDescent="0.25">
      <c r="B100" t="s">
        <v>137</v>
      </c>
      <c r="F100" s="36">
        <f>IF(F70=H68,F99,IF(F95&lt;=1,F79,F95*F79))</f>
        <v>0.4873560883512616</v>
      </c>
    </row>
    <row r="101" spans="2:11" x14ac:dyDescent="0.25">
      <c r="F101" s="36"/>
    </row>
    <row r="102" spans="2:11" ht="17.25" x14ac:dyDescent="0.25">
      <c r="B102" t="s">
        <v>83</v>
      </c>
      <c r="F102" s="29">
        <f>I26*F100+I21*(1-F100)</f>
        <v>23.198543111308027</v>
      </c>
      <c r="G102" t="s">
        <v>84</v>
      </c>
    </row>
    <row r="103" spans="2:11" x14ac:dyDescent="0.25">
      <c r="B103" t="s">
        <v>89</v>
      </c>
      <c r="F103" s="29">
        <f>F102*I12*SIN(F94)/144</f>
        <v>52.854656767889743</v>
      </c>
      <c r="G103" t="s">
        <v>24</v>
      </c>
    </row>
    <row r="105" spans="2:11" x14ac:dyDescent="0.25">
      <c r="B105" s="38" t="s">
        <v>90</v>
      </c>
    </row>
    <row r="106" spans="2:11" x14ac:dyDescent="0.25">
      <c r="B106" s="18" t="s">
        <v>91</v>
      </c>
    </row>
    <row r="107" spans="2:11" x14ac:dyDescent="0.25">
      <c r="B107" t="s">
        <v>92</v>
      </c>
      <c r="F107" s="36">
        <f>F59/F100^2</f>
        <v>1.4517006604617184</v>
      </c>
    </row>
    <row r="108" spans="2:11" x14ac:dyDescent="0.25">
      <c r="B108" t="s">
        <v>93</v>
      </c>
      <c r="F108" s="36">
        <f>LN(F107)</f>
        <v>0.3727357384425839</v>
      </c>
    </row>
    <row r="109" spans="2:11" x14ac:dyDescent="0.25">
      <c r="B109" t="s">
        <v>94</v>
      </c>
      <c r="F109" s="36">
        <f>F108/(-0.0523+3.182*F108-0.8725*F108^2+0.01853*F108^4)</f>
        <v>0.36799425110486433</v>
      </c>
    </row>
    <row r="110" spans="2:11" x14ac:dyDescent="0.25">
      <c r="B110" t="s">
        <v>95</v>
      </c>
      <c r="F110" s="36">
        <f>IF(F107=0,0,IF(AND(F107&gt;1,F107&lt;1.2),LN(2.2*F107-1.2),F109))</f>
        <v>0.36799425110486433</v>
      </c>
    </row>
    <row r="111" spans="2:11" ht="18" x14ac:dyDescent="0.35">
      <c r="B111" t="s">
        <v>96</v>
      </c>
      <c r="F111" s="36">
        <f>EXP(F110)</f>
        <v>1.4448337327523852</v>
      </c>
    </row>
    <row r="113" spans="2:9" x14ac:dyDescent="0.25">
      <c r="B113" t="s">
        <v>97</v>
      </c>
      <c r="F113" s="47">
        <f>(I10/12)*F58*F62/F61</f>
        <v>157713.03274986742</v>
      </c>
    </row>
    <row r="114" spans="2:9" x14ac:dyDescent="0.25">
      <c r="F114" s="47"/>
    </row>
    <row r="115" spans="2:9" x14ac:dyDescent="0.25">
      <c r="B115" s="18" t="s">
        <v>99</v>
      </c>
    </row>
    <row r="116" spans="2:9" x14ac:dyDescent="0.25">
      <c r="B116" t="s">
        <v>100</v>
      </c>
      <c r="F116" s="48">
        <f>F11/F10</f>
        <v>3.5521875555029304E-5</v>
      </c>
    </row>
    <row r="117" spans="2:9" x14ac:dyDescent="0.25">
      <c r="B117" t="s">
        <v>101</v>
      </c>
      <c r="F117" s="47">
        <f>F113</f>
        <v>157713.03274986742</v>
      </c>
    </row>
    <row r="119" spans="2:9" x14ac:dyDescent="0.25">
      <c r="B119" t="s">
        <v>102</v>
      </c>
      <c r="C119">
        <v>1</v>
      </c>
      <c r="E119">
        <v>2</v>
      </c>
      <c r="F119">
        <v>3</v>
      </c>
      <c r="G119">
        <v>4</v>
      </c>
      <c r="H119">
        <v>5</v>
      </c>
      <c r="I119">
        <v>6</v>
      </c>
    </row>
    <row r="120" spans="2:9" x14ac:dyDescent="0.25">
      <c r="B120" t="s">
        <v>103</v>
      </c>
      <c r="C120" s="36">
        <f>64/F117</f>
        <v>4.0580032533838774E-4</v>
      </c>
      <c r="D120" s="36"/>
      <c r="E120" s="36">
        <f>1/(-2*LOG10($F$116/3.7+2.51/($F$117*SQRT(C120))))^2</f>
        <v>2.6063235544813684E-2</v>
      </c>
      <c r="F120" s="36">
        <f>1/(-2*LOG10($F$116/3.7+2.51/($F$117*SQRT(E120))))^2</f>
        <v>1.5895268019276636E-2</v>
      </c>
      <c r="G120" s="36">
        <f t="shared" ref="G120:I120" si="0">1/(-2*LOG10($F$116/3.7+2.51/($F$117*SQRT(F120))))^2</f>
        <v>1.6718336902587047E-2</v>
      </c>
      <c r="H120" s="36">
        <f t="shared" si="0"/>
        <v>1.6630671753849878E-2</v>
      </c>
      <c r="I120" s="36">
        <f t="shared" si="0"/>
        <v>1.6639761573257927E-2</v>
      </c>
    </row>
    <row r="122" spans="2:9" x14ac:dyDescent="0.25">
      <c r="B122" t="s">
        <v>102</v>
      </c>
      <c r="C122">
        <v>7</v>
      </c>
      <c r="E122">
        <v>8</v>
      </c>
      <c r="F122">
        <v>9</v>
      </c>
      <c r="G122">
        <v>10</v>
      </c>
      <c r="H122">
        <v>11</v>
      </c>
      <c r="I122">
        <v>12</v>
      </c>
    </row>
    <row r="123" spans="2:9" x14ac:dyDescent="0.25">
      <c r="B123" t="s">
        <v>103</v>
      </c>
      <c r="C123" s="36">
        <f>1/(-2*LOG10($F$116/3.7+2.51/($F$117*SQRT(I120))))^2</f>
        <v>1.6638816417371444E-2</v>
      </c>
      <c r="D123" s="36"/>
      <c r="E123" s="36">
        <f>1/(-2*LOG10($F$116/3.7+2.51/($F$117*SQRT(C123))))^2</f>
        <v>1.6638914665639232E-2</v>
      </c>
      <c r="F123" s="36">
        <f t="shared" ref="F123:I123" si="1">1/(-2*LOG10($F$116/3.7+2.51/($F$117*SQRT(E123))))^2</f>
        <v>1.6638904452493348E-2</v>
      </c>
      <c r="G123" s="36">
        <f t="shared" si="1"/>
        <v>1.6638905514171305E-2</v>
      </c>
      <c r="H123" s="36">
        <f t="shared" si="1"/>
        <v>1.6638905403807615E-2</v>
      </c>
      <c r="I123" s="36">
        <f t="shared" si="1"/>
        <v>1.6638905415280153E-2</v>
      </c>
    </row>
    <row r="125" spans="2:9" x14ac:dyDescent="0.25">
      <c r="B125" t="s">
        <v>102</v>
      </c>
      <c r="C125">
        <v>13</v>
      </c>
      <c r="E125">
        <v>14</v>
      </c>
      <c r="F125">
        <v>15</v>
      </c>
      <c r="G125">
        <v>16</v>
      </c>
      <c r="H125">
        <v>17</v>
      </c>
      <c r="I125">
        <v>18</v>
      </c>
    </row>
    <row r="126" spans="2:9" x14ac:dyDescent="0.25">
      <c r="B126" t="s">
        <v>103</v>
      </c>
      <c r="C126" s="36">
        <f>1/(-2*LOG10($F$116/3.7+2.51/($F$117*SQRT(I123))))^2</f>
        <v>1.6638905414087562E-2</v>
      </c>
      <c r="D126" s="36"/>
      <c r="E126" s="36">
        <f>1/(-2*LOG10($F$116/3.7+2.51/($F$117*SQRT(C126))))^2</f>
        <v>1.6638905414211532E-2</v>
      </c>
      <c r="F126" s="36">
        <f t="shared" ref="F126:H126" si="2">1/(-2*LOG10($F$116/3.7+2.51/($F$117*SQRT(E126))))^2</f>
        <v>1.6638905414198647E-2</v>
      </c>
      <c r="G126" s="36">
        <f t="shared" si="2"/>
        <v>1.6638905414199986E-2</v>
      </c>
      <c r="H126" s="36">
        <f t="shared" si="2"/>
        <v>1.6638905414199844E-2</v>
      </c>
      <c r="I126" s="36">
        <f>1/(-2*LOG10($F$116/3.7+2.51/($F$117*SQRT(H126))))^2</f>
        <v>1.6638905414199861E-2</v>
      </c>
    </row>
    <row r="128" spans="2:9" x14ac:dyDescent="0.25">
      <c r="B128" t="s">
        <v>104</v>
      </c>
      <c r="F128" s="36">
        <f>IF(F117&lt;=2100,C120,I126)/4</f>
        <v>4.1597263535499652E-3</v>
      </c>
    </row>
    <row r="130" spans="2:9" x14ac:dyDescent="0.25">
      <c r="B130" s="18" t="s">
        <v>105</v>
      </c>
      <c r="F130" s="1"/>
      <c r="I130" s="47"/>
    </row>
    <row r="131" spans="2:9" x14ac:dyDescent="0.25">
      <c r="B131" t="s">
        <v>106</v>
      </c>
      <c r="F131" s="1">
        <f>F128*F111</f>
        <v>6.0101129546280647E-3</v>
      </c>
      <c r="H131" s="39"/>
    </row>
    <row r="132" spans="2:9" x14ac:dyDescent="0.25">
      <c r="B132" t="s">
        <v>107</v>
      </c>
      <c r="F132" s="29">
        <f>2*F131*F58^2*F62*I12/(144*F52*(I10/12))</f>
        <v>3.7694856704657851</v>
      </c>
      <c r="G132" t="s">
        <v>24</v>
      </c>
      <c r="H132" s="39"/>
    </row>
    <row r="134" spans="2:9" x14ac:dyDescent="0.25">
      <c r="B134" t="s">
        <v>108</v>
      </c>
      <c r="F134" s="29">
        <f>F132+F103</f>
        <v>56.624142438355527</v>
      </c>
      <c r="G134" t="s">
        <v>24</v>
      </c>
    </row>
    <row r="136" spans="2:9" x14ac:dyDescent="0.25">
      <c r="B136" s="18" t="s">
        <v>112</v>
      </c>
    </row>
    <row r="137" spans="2:9" x14ac:dyDescent="0.25">
      <c r="B137" t="s">
        <v>111</v>
      </c>
      <c r="F137" s="1">
        <f>F102*F58*I55/(F52*I18)</f>
        <v>1.0648322632269558E-2</v>
      </c>
      <c r="H137" s="1"/>
    </row>
    <row r="138" spans="2:9" x14ac:dyDescent="0.25">
      <c r="B138" t="s">
        <v>108</v>
      </c>
      <c r="F138" s="29">
        <f>F134/(1-F137)</f>
        <v>57.233584107331531</v>
      </c>
      <c r="G138" t="s">
        <v>24</v>
      </c>
    </row>
  </sheetData>
  <mergeCells count="2">
    <mergeCell ref="B2:J2"/>
    <mergeCell ref="C3:I3"/>
  </mergeCells>
  <dataValidations count="1">
    <dataValidation type="list" allowBlank="1" showInputMessage="1" showErrorMessage="1" sqref="F13">
      <formula1>$K$82:$K$83</formula1>
    </dataValidation>
  </dataValidations>
  <hyperlinks>
    <hyperlink ref="B4" r:id="rId1"/>
  </hyperlinks>
  <pageMargins left="0.25" right="0.25" top="0.75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Phase Fluid</vt:lpstr>
      <vt:lpstr>'2 Phase Fluid'!Print_Area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Aarav</dc:creator>
  <cp:lastModifiedBy>Aarav</cp:lastModifiedBy>
  <cp:lastPrinted>2015-05-09T16:09:30Z</cp:lastPrinted>
  <dcterms:created xsi:type="dcterms:W3CDTF">2015-05-03T06:10:24Z</dcterms:created>
  <dcterms:modified xsi:type="dcterms:W3CDTF">2017-04-05T17:25:33Z</dcterms:modified>
</cp:coreProperties>
</file>