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45" windowWidth="10275" windowHeight="7815"/>
  </bookViews>
  <sheets>
    <sheet name="Pipe" sheetId="1" r:id="rId1"/>
  </sheets>
  <definedNames>
    <definedName name="_xlnm.Print_Area" localSheetId="0">Pipe!$A$1:$K$149</definedName>
    <definedName name="_xlnm.Print_Titles" localSheetId="0">Pipe!$1:$8</definedName>
  </definedNames>
  <calcPr calcId="145621"/>
</workbook>
</file>

<file path=xl/calcChain.xml><?xml version="1.0" encoding="utf-8"?>
<calcChain xmlns="http://schemas.openxmlformats.org/spreadsheetml/2006/main">
  <c r="F109" i="1" l="1"/>
  <c r="F32" i="1" l="1"/>
  <c r="I32" i="1" s="1"/>
  <c r="K146" i="1"/>
  <c r="K142" i="1"/>
  <c r="K138" i="1"/>
  <c r="I134" i="1"/>
  <c r="K134" i="1" s="1"/>
  <c r="K129" i="1"/>
  <c r="I117" i="1"/>
  <c r="F101" i="1"/>
  <c r="I93" i="1" l="1"/>
  <c r="F111" i="1"/>
  <c r="F107" i="1"/>
  <c r="F87" i="1"/>
  <c r="I16" i="1" l="1"/>
  <c r="I19" i="1" l="1"/>
  <c r="I20" i="1"/>
  <c r="I21" i="1"/>
  <c r="I15" i="1" l="1"/>
  <c r="F12" i="1" l="1"/>
  <c r="D188" i="1"/>
  <c r="U195" i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E195" i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D187" i="1" l="1"/>
  <c r="D189" i="1" s="1"/>
  <c r="G11" i="1" s="1"/>
  <c r="I14" i="1" l="1"/>
  <c r="F155" i="1" s="1"/>
  <c r="D190" i="1"/>
  <c r="F14" i="1" l="1"/>
  <c r="F24" i="1" l="1"/>
  <c r="I24" i="1" s="1"/>
  <c r="F25" i="1" l="1"/>
  <c r="I104" i="1" l="1"/>
  <c r="I108" i="1"/>
  <c r="F156" i="1"/>
  <c r="F157" i="1" s="1"/>
  <c r="D164" i="1" s="1"/>
  <c r="D165" i="1" s="1"/>
  <c r="E164" i="1" s="1"/>
  <c r="E165" i="1" s="1"/>
  <c r="F164" i="1" s="1"/>
  <c r="F165" i="1" s="1"/>
  <c r="G164" i="1" s="1"/>
  <c r="G165" i="1" s="1"/>
  <c r="H164" i="1" s="1"/>
  <c r="H165" i="1" s="1"/>
  <c r="I164" i="1" s="1"/>
  <c r="I165" i="1" s="1"/>
  <c r="J164" i="1" s="1"/>
  <c r="J165" i="1" s="1"/>
  <c r="K164" i="1" s="1"/>
  <c r="K165" i="1" s="1"/>
  <c r="I98" i="1"/>
  <c r="K98" i="1" s="1"/>
  <c r="K83" i="1"/>
  <c r="K77" i="1"/>
  <c r="K81" i="1"/>
  <c r="K67" i="1"/>
  <c r="K64" i="1"/>
  <c r="K54" i="1"/>
  <c r="K50" i="1"/>
  <c r="K43" i="1"/>
  <c r="K47" i="1"/>
  <c r="K85" i="1"/>
  <c r="K74" i="1"/>
  <c r="K78" i="1"/>
  <c r="K73" i="1"/>
  <c r="K68" i="1"/>
  <c r="K60" i="1"/>
  <c r="K55" i="1"/>
  <c r="K49" i="1"/>
  <c r="K44" i="1"/>
  <c r="K48" i="1"/>
  <c r="K46" i="1"/>
  <c r="K82" i="1"/>
  <c r="K75" i="1"/>
  <c r="K79" i="1"/>
  <c r="K65" i="1"/>
  <c r="K69" i="1"/>
  <c r="K61" i="1"/>
  <c r="K56" i="1"/>
  <c r="K41" i="1"/>
  <c r="K45" i="1"/>
  <c r="K40" i="1"/>
  <c r="K84" i="1"/>
  <c r="K76" i="1"/>
  <c r="K80" i="1"/>
  <c r="K66" i="1"/>
  <c r="K70" i="1"/>
  <c r="K59" i="1"/>
  <c r="K53" i="1"/>
  <c r="K42" i="1"/>
  <c r="F159" i="1" l="1"/>
  <c r="F158" i="1"/>
  <c r="F160" i="1" s="1"/>
  <c r="K104" i="1"/>
  <c r="K108" i="1"/>
  <c r="D168" i="1"/>
  <c r="D169" i="1" s="1"/>
  <c r="E168" i="1" s="1"/>
  <c r="E169" i="1" s="1"/>
  <c r="F168" i="1" s="1"/>
  <c r="F169" i="1" s="1"/>
  <c r="G168" i="1" s="1"/>
  <c r="G169" i="1" s="1"/>
  <c r="H168" i="1" s="1"/>
  <c r="H169" i="1" s="1"/>
  <c r="I168" i="1" s="1"/>
  <c r="I169" i="1" s="1"/>
  <c r="J168" i="1" s="1"/>
  <c r="J169" i="1" s="1"/>
  <c r="K168" i="1" s="1"/>
  <c r="K169" i="1" s="1"/>
  <c r="F161" i="1" s="1"/>
  <c r="F154" i="1" s="1"/>
  <c r="F26" i="1" s="1"/>
  <c r="F31" i="1" l="1"/>
  <c r="I89" i="1"/>
  <c r="I31" i="1"/>
  <c r="I114" i="1"/>
  <c r="K114" i="1" l="1"/>
  <c r="I123" i="1"/>
  <c r="K123" i="1" s="1"/>
  <c r="I118" i="1"/>
  <c r="K118" i="1" s="1"/>
  <c r="K89" i="1"/>
  <c r="I94" i="1"/>
  <c r="K94" i="1" s="1"/>
  <c r="K149" i="1" l="1"/>
  <c r="F27" i="1" s="1"/>
  <c r="F30" i="1" s="1"/>
  <c r="I30" i="1" l="1"/>
  <c r="F35" i="1"/>
  <c r="F36" i="1" l="1"/>
  <c r="I36" i="1" s="1"/>
  <c r="I35" i="1"/>
</calcChain>
</file>

<file path=xl/sharedStrings.xml><?xml version="1.0" encoding="utf-8"?>
<sst xmlns="http://schemas.openxmlformats.org/spreadsheetml/2006/main" count="264" uniqueCount="148">
  <si>
    <t>Line Number</t>
  </si>
  <si>
    <t>P-10001</t>
  </si>
  <si>
    <t>Description</t>
  </si>
  <si>
    <t>Feed Pipe</t>
  </si>
  <si>
    <t>Date</t>
  </si>
  <si>
    <t xml:space="preserve">User Input </t>
  </si>
  <si>
    <t>By</t>
  </si>
  <si>
    <t xml:space="preserve">Pipe Fitting Losses </t>
  </si>
  <si>
    <t>Piping Inside Diameter, Inches</t>
  </si>
  <si>
    <t>Sch / Thickness</t>
  </si>
  <si>
    <t>Nominal Pipe Size</t>
  </si>
  <si>
    <t>OD</t>
  </si>
  <si>
    <t>Pipe Data</t>
  </si>
  <si>
    <t>Metric</t>
  </si>
  <si>
    <t xml:space="preserve">English </t>
  </si>
  <si>
    <t>mm</t>
  </si>
  <si>
    <t>inch</t>
  </si>
  <si>
    <t>Pipe Roughness</t>
  </si>
  <si>
    <t>Schedule Thickness</t>
  </si>
  <si>
    <t>Selected ID</t>
  </si>
  <si>
    <t>Selected Schedule</t>
  </si>
  <si>
    <t>Pipe ID Selected</t>
  </si>
  <si>
    <t>Pipe Inner Diameter</t>
  </si>
  <si>
    <t>Pipe Length</t>
  </si>
  <si>
    <t>m</t>
  </si>
  <si>
    <t>ft</t>
  </si>
  <si>
    <t>Fluid Data</t>
  </si>
  <si>
    <t>Flowrate</t>
  </si>
  <si>
    <t>Density</t>
  </si>
  <si>
    <t>Viscosity</t>
  </si>
  <si>
    <r>
      <t>m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/h</t>
    </r>
  </si>
  <si>
    <r>
      <t>Kg/m</t>
    </r>
    <r>
      <rPr>
        <vertAlign val="superscript"/>
        <sz val="11"/>
        <color rgb="FF7030A0"/>
        <rFont val="Calibri"/>
        <family val="2"/>
        <scheme val="minor"/>
      </rPr>
      <t>3</t>
    </r>
  </si>
  <si>
    <t>cP</t>
  </si>
  <si>
    <r>
      <t>lb/ft</t>
    </r>
    <r>
      <rPr>
        <vertAlign val="superscript"/>
        <sz val="11"/>
        <color rgb="FF7030A0"/>
        <rFont val="Calibri"/>
        <family val="2"/>
        <scheme val="minor"/>
      </rPr>
      <t>3</t>
    </r>
  </si>
  <si>
    <t>lb/ft.s</t>
  </si>
  <si>
    <r>
      <t>ft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/min</t>
    </r>
  </si>
  <si>
    <t>Fittings</t>
  </si>
  <si>
    <t>90° Elbow</t>
  </si>
  <si>
    <t>Threaded, r/D = 1</t>
  </si>
  <si>
    <t>Threaded, Long Radius, r/D = 1.5</t>
  </si>
  <si>
    <t>Flanged, Welded, Bend, r/D = 1</t>
  </si>
  <si>
    <t>Flanged, Welded, Bend, r/D = 2</t>
  </si>
  <si>
    <t>Flanged, Welded, Bend, r/D = 4</t>
  </si>
  <si>
    <t>Flanged, Welded, Bend, r/D = 6</t>
  </si>
  <si>
    <t>Mitered, 1 Weld, 90°</t>
  </si>
  <si>
    <t>Mitered, 2 Weld, 45°</t>
  </si>
  <si>
    <t>Mitered, 3 Weld, 30°</t>
  </si>
  <si>
    <t>Mitered, 4 Weld, 22.5°</t>
  </si>
  <si>
    <t>Mitered, 5 Weld, 18°</t>
  </si>
  <si>
    <t>45° Elbow</t>
  </si>
  <si>
    <t>Standard, r/D = 1</t>
  </si>
  <si>
    <t>Long Radius, r/D = 1.5</t>
  </si>
  <si>
    <t>Mitered, 1 Weld, 45°</t>
  </si>
  <si>
    <t>Mitered, 2 Weld, 22.5°</t>
  </si>
  <si>
    <t>180° Bend</t>
  </si>
  <si>
    <t>Flanged/ Welded, r/D = 1</t>
  </si>
  <si>
    <t>Tees</t>
  </si>
  <si>
    <t>NPS</t>
  </si>
  <si>
    <t>Standard, Threaded, r/D = 1</t>
  </si>
  <si>
    <t>Long Radius, Threaded, r/D = 1.5</t>
  </si>
  <si>
    <t>Standard, Flanged/Welded, r/D = 1</t>
  </si>
  <si>
    <t>Stub-in Branch</t>
  </si>
  <si>
    <t>Run Through Threaded, r/D = 1</t>
  </si>
  <si>
    <t>Run Through Flanged/Welded, r/D = 1</t>
  </si>
  <si>
    <t>Run Through Stub in Branch</t>
  </si>
  <si>
    <t>Valves</t>
  </si>
  <si>
    <r>
      <t>Angle Valve = 45</t>
    </r>
    <r>
      <rPr>
        <sz val="11"/>
        <color theme="1"/>
        <rFont val="Calibri"/>
        <family val="2"/>
      </rPr>
      <t>°, β = 1</t>
    </r>
  </si>
  <si>
    <r>
      <t>Angle Valve = 90</t>
    </r>
    <r>
      <rPr>
        <sz val="11"/>
        <color theme="1"/>
        <rFont val="Calibri"/>
        <family val="2"/>
      </rPr>
      <t>°, β = 1</t>
    </r>
  </si>
  <si>
    <r>
      <t xml:space="preserve">Globe Valve, </t>
    </r>
    <r>
      <rPr>
        <sz val="11"/>
        <color theme="1"/>
        <rFont val="Calibri"/>
        <family val="2"/>
      </rPr>
      <t>β = 1</t>
    </r>
  </si>
  <si>
    <t>Plug Valve, Branch Flow</t>
  </si>
  <si>
    <t>Plug Valve, Straight Through</t>
  </si>
  <si>
    <t>Plug Valve, 3-way, Flow Through</t>
  </si>
  <si>
    <r>
      <t xml:space="preserve">Gate Valve, </t>
    </r>
    <r>
      <rPr>
        <sz val="11"/>
        <color theme="1"/>
        <rFont val="Calibri"/>
        <family val="2"/>
      </rPr>
      <t>β = 1</t>
    </r>
  </si>
  <si>
    <r>
      <t xml:space="preserve">Ball Valve, </t>
    </r>
    <r>
      <rPr>
        <sz val="11"/>
        <color theme="1"/>
        <rFont val="Calibri"/>
        <family val="2"/>
      </rPr>
      <t>β = 1</t>
    </r>
  </si>
  <si>
    <t>Butterfly Valve</t>
  </si>
  <si>
    <t>Diaphragm Valve, Dam Type</t>
  </si>
  <si>
    <t>Tilting Disk Check Valve</t>
  </si>
  <si>
    <t>Square Reduction</t>
  </si>
  <si>
    <t>D2</t>
  </si>
  <si>
    <t>Tapered Reduction</t>
  </si>
  <si>
    <t>θ</t>
  </si>
  <si>
    <t>°</t>
  </si>
  <si>
    <t>Thin Sharp Orifice</t>
  </si>
  <si>
    <t>Thick Orifice</t>
  </si>
  <si>
    <t>L</t>
  </si>
  <si>
    <t>Square Expansion</t>
  </si>
  <si>
    <t>Tapered Expansion</t>
  </si>
  <si>
    <t>Rounded Pipe Expansion</t>
  </si>
  <si>
    <t>Rounded Pipe Reduction</t>
  </si>
  <si>
    <t>Expander</t>
  </si>
  <si>
    <t>Pipe Entrances</t>
  </si>
  <si>
    <t>Flush / Square Edged</t>
  </si>
  <si>
    <t>Rounded</t>
  </si>
  <si>
    <t xml:space="preserve">Inward Projecting </t>
  </si>
  <si>
    <t>Chamfered</t>
  </si>
  <si>
    <t>Pipe Exits</t>
  </si>
  <si>
    <t>Pipe Elevation</t>
  </si>
  <si>
    <t>Calculations</t>
  </si>
  <si>
    <t>m/s</t>
  </si>
  <si>
    <t>ft/s</t>
  </si>
  <si>
    <t>Reynold's Number, Re</t>
  </si>
  <si>
    <t>Velocity, V</t>
  </si>
  <si>
    <t>Pipe Rougness / Pipe ID</t>
  </si>
  <si>
    <t>Reynold's Number</t>
  </si>
  <si>
    <t>Laminar Flow</t>
  </si>
  <si>
    <t>f</t>
  </si>
  <si>
    <t>Friction factor (Darcy's)</t>
  </si>
  <si>
    <t>A</t>
  </si>
  <si>
    <t>B</t>
  </si>
  <si>
    <t>f esimate</t>
  </si>
  <si>
    <t>Using Colebrook</t>
  </si>
  <si>
    <t>Iteration</t>
  </si>
  <si>
    <t>Selected</t>
  </si>
  <si>
    <t>Friction factor, f (Darcy's)</t>
  </si>
  <si>
    <t>Using Churchill Equation</t>
  </si>
  <si>
    <t>Using Colebrook Equation</t>
  </si>
  <si>
    <t>Quantity</t>
  </si>
  <si>
    <t>K1</t>
  </si>
  <si>
    <t>Kd</t>
  </si>
  <si>
    <t>Method</t>
  </si>
  <si>
    <t>K</t>
  </si>
  <si>
    <t>3K</t>
  </si>
  <si>
    <t>2K</t>
  </si>
  <si>
    <t>Reducer</t>
  </si>
  <si>
    <t>rad</t>
  </si>
  <si>
    <t>Kf</t>
  </si>
  <si>
    <t>L/D2</t>
  </si>
  <si>
    <t>Orifice</t>
  </si>
  <si>
    <t>r/D</t>
  </si>
  <si>
    <t>0.15+</t>
  </si>
  <si>
    <t>K - Total</t>
  </si>
  <si>
    <t>K Value for fittings</t>
  </si>
  <si>
    <t>Head Loss</t>
  </si>
  <si>
    <t>Due to Fittings</t>
  </si>
  <si>
    <t>Due to Friction</t>
  </si>
  <si>
    <t>Due to Elevation</t>
  </si>
  <si>
    <t>Pressure Drop</t>
  </si>
  <si>
    <t>psi</t>
  </si>
  <si>
    <t>Total</t>
  </si>
  <si>
    <t>Head loss</t>
  </si>
  <si>
    <t>bar</t>
  </si>
  <si>
    <r>
      <t>K</t>
    </r>
    <r>
      <rPr>
        <sz val="11"/>
        <color theme="1"/>
        <rFont val="Calibri"/>
        <family val="2"/>
      </rPr>
      <t>∞</t>
    </r>
  </si>
  <si>
    <t>Swing Check Valve</t>
  </si>
  <si>
    <t>Lift Check Valve</t>
  </si>
  <si>
    <t>Chemical Engineer's Guide</t>
  </si>
  <si>
    <t>CheGuide.com</t>
  </si>
  <si>
    <t>CheGuide</t>
  </si>
  <si>
    <t>2-Sep-15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</si>
</sst>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[$-14009]dd/mm/yy;@"/>
    <numFmt numFmtId="166" formatCode="0.0"/>
    <numFmt numFmtId="167" formatCode="0.00000"/>
    <numFmt numFmtId="168" formatCode="0.0000"/>
    <numFmt numFmtId="169" formatCode="0.0.E+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Helvetica"/>
    </font>
    <font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perscript"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/>
      <top/>
      <bottom style="hair">
        <color theme="6" tint="-0.49998474074526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indexed="64"/>
      </top>
      <bottom style="thin">
        <color theme="9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0.39994506668294322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theme="6" tint="-0.499984740745262"/>
      </bottom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indexed="64"/>
      </right>
      <top/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/>
  </cellStyleXfs>
  <cellXfs count="112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164" fontId="0" fillId="0" borderId="0" xfId="0" applyNumberFormat="1" applyProtection="1"/>
    <xf numFmtId="164" fontId="5" fillId="0" borderId="0" xfId="0" applyNumberFormat="1" applyFont="1" applyBorder="1" applyProtection="1"/>
    <xf numFmtId="164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Protection="1"/>
    <xf numFmtId="165" fontId="5" fillId="2" borderId="1" xfId="0" quotePrefix="1" applyNumberFormat="1" applyFont="1" applyFill="1" applyBorder="1" applyAlignment="1" applyProtection="1">
      <alignment horizontal="left"/>
      <protection locked="0"/>
    </xf>
    <xf numFmtId="165" fontId="5" fillId="2" borderId="2" xfId="0" applyNumberFormat="1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164" fontId="0" fillId="0" borderId="0" xfId="0" applyNumberFormat="1" applyAlignment="1">
      <alignment wrapText="1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8" fillId="0" borderId="0" xfId="2" applyFont="1"/>
    <xf numFmtId="0" fontId="8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166" fontId="8" fillId="0" borderId="0" xfId="2" applyNumberFormat="1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left"/>
    </xf>
    <xf numFmtId="164" fontId="0" fillId="3" borderId="6" xfId="0" applyNumberFormat="1" applyFill="1" applyBorder="1"/>
    <xf numFmtId="167" fontId="0" fillId="2" borderId="7" xfId="0" applyNumberFormat="1" applyFont="1" applyFill="1" applyBorder="1" applyAlignment="1" applyProtection="1">
      <protection locked="0"/>
    </xf>
    <xf numFmtId="166" fontId="0" fillId="2" borderId="7" xfId="0" applyNumberFormat="1" applyFont="1" applyFill="1" applyBorder="1" applyAlignment="1" applyProtection="1">
      <protection locked="0"/>
    </xf>
    <xf numFmtId="2" fontId="0" fillId="3" borderId="6" xfId="0" applyNumberFormat="1" applyFill="1" applyBorder="1"/>
    <xf numFmtId="167" fontId="0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ill="1"/>
    <xf numFmtId="0" fontId="0" fillId="4" borderId="0" xfId="0" applyFill="1"/>
    <xf numFmtId="0" fontId="13" fillId="4" borderId="0" xfId="0" applyFont="1" applyFill="1" applyAlignment="1">
      <alignment horizontal="left" indent="1"/>
    </xf>
    <xf numFmtId="166" fontId="0" fillId="0" borderId="0" xfId="0" applyNumberFormat="1" applyFill="1" applyBorder="1"/>
    <xf numFmtId="0" fontId="12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13" fillId="0" borderId="0" xfId="0" applyFont="1" applyFill="1" applyAlignment="1">
      <alignment horizontal="left" indent="1"/>
    </xf>
    <xf numFmtId="2" fontId="0" fillId="0" borderId="0" xfId="0" applyNumberFormat="1" applyFont="1" applyFill="1" applyBorder="1" applyAlignment="1" applyProtection="1">
      <protection locked="0"/>
    </xf>
    <xf numFmtId="167" fontId="0" fillId="3" borderId="6" xfId="0" applyNumberFormat="1" applyFill="1" applyBorder="1"/>
    <xf numFmtId="2" fontId="0" fillId="2" borderId="7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166" fontId="0" fillId="2" borderId="3" xfId="0" applyNumberFormat="1" applyFont="1" applyFill="1" applyBorder="1" applyAlignment="1" applyProtection="1">
      <protection locked="0"/>
    </xf>
    <xf numFmtId="164" fontId="0" fillId="2" borderId="3" xfId="0" applyNumberFormat="1" applyFont="1" applyFill="1" applyBorder="1" applyAlignment="1" applyProtection="1">
      <protection locked="0"/>
    </xf>
    <xf numFmtId="0" fontId="12" fillId="0" borderId="0" xfId="0" applyFont="1"/>
    <xf numFmtId="11" fontId="0" fillId="3" borderId="6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Border="1" applyAlignment="1" applyProtection="1">
      <protection locked="0"/>
    </xf>
    <xf numFmtId="0" fontId="17" fillId="0" borderId="0" xfId="0" applyFont="1"/>
    <xf numFmtId="1" fontId="0" fillId="3" borderId="6" xfId="0" applyNumberFormat="1" applyFill="1" applyBorder="1"/>
    <xf numFmtId="11" fontId="0" fillId="0" borderId="0" xfId="0" applyNumberFormat="1"/>
    <xf numFmtId="1" fontId="0" fillId="0" borderId="0" xfId="0" applyNumberFormat="1"/>
    <xf numFmtId="167" fontId="0" fillId="0" borderId="0" xfId="0" applyNumberFormat="1" applyAlignment="1">
      <alignment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 applyAlignment="1">
      <alignment wrapText="1"/>
    </xf>
    <xf numFmtId="1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11" fillId="0" borderId="10" xfId="0" applyFont="1" applyBorder="1"/>
    <xf numFmtId="0" fontId="0" fillId="0" borderId="10" xfId="0" applyBorder="1"/>
    <xf numFmtId="164" fontId="0" fillId="2" borderId="11" xfId="0" applyNumberFormat="1" applyFont="1" applyFill="1" applyBorder="1" applyAlignment="1" applyProtection="1">
      <protection locked="0"/>
    </xf>
    <xf numFmtId="0" fontId="12" fillId="0" borderId="10" xfId="0" applyFont="1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15" fillId="0" borderId="0" xfId="0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1" fontId="0" fillId="2" borderId="18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7" xfId="0" applyNumberFormat="1" applyBorder="1"/>
    <xf numFmtId="0" fontId="16" fillId="0" borderId="10" xfId="0" applyFont="1" applyBorder="1"/>
    <xf numFmtId="166" fontId="0" fillId="0" borderId="16" xfId="0" applyNumberFormat="1" applyBorder="1"/>
    <xf numFmtId="0" fontId="15" fillId="0" borderId="16" xfId="0" applyFont="1" applyBorder="1"/>
    <xf numFmtId="0" fontId="1" fillId="0" borderId="8" xfId="0" applyFont="1" applyBorder="1"/>
    <xf numFmtId="0" fontId="0" fillId="0" borderId="8" xfId="0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166" fontId="0" fillId="0" borderId="22" xfId="0" applyNumberFormat="1" applyBorder="1"/>
    <xf numFmtId="0" fontId="0" fillId="0" borderId="21" xfId="0" applyBorder="1" applyAlignment="1">
      <alignment horizontal="center"/>
    </xf>
    <xf numFmtId="164" fontId="0" fillId="0" borderId="23" xfId="0" applyNumberFormat="1" applyBorder="1"/>
    <xf numFmtId="0" fontId="0" fillId="0" borderId="22" xfId="0" applyBorder="1"/>
    <xf numFmtId="166" fontId="0" fillId="0" borderId="22" xfId="0" applyNumberFormat="1" applyFill="1" applyBorder="1"/>
    <xf numFmtId="2" fontId="0" fillId="0" borderId="21" xfId="0" applyNumberFormat="1" applyBorder="1"/>
    <xf numFmtId="2" fontId="0" fillId="0" borderId="19" xfId="0" applyNumberFormat="1" applyBorder="1"/>
    <xf numFmtId="0" fontId="0" fillId="0" borderId="21" xfId="0" applyFill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0" borderId="16" xfId="0" applyFont="1" applyBorder="1"/>
    <xf numFmtId="2" fontId="0" fillId="3" borderId="24" xfId="0" applyNumberFormat="1" applyFill="1" applyBorder="1"/>
    <xf numFmtId="0" fontId="12" fillId="0" borderId="25" xfId="0" applyFont="1" applyBorder="1" applyAlignment="1">
      <alignment horizontal="left"/>
    </xf>
    <xf numFmtId="0" fontId="11" fillId="0" borderId="0" xfId="0" applyFont="1" applyBorder="1"/>
    <xf numFmtId="164" fontId="0" fillId="0" borderId="0" xfId="0" applyNumberFormat="1" applyBorder="1"/>
    <xf numFmtId="164" fontId="0" fillId="3" borderId="26" xfId="0" applyNumberFormat="1" applyFill="1" applyBorder="1"/>
    <xf numFmtId="164" fontId="0" fillId="0" borderId="16" xfId="0" applyNumberFormat="1" applyBorder="1"/>
    <xf numFmtId="164" fontId="0" fillId="3" borderId="14" xfId="0" applyNumberFormat="1" applyFill="1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0" fontId="0" fillId="0" borderId="0" xfId="0" applyFont="1"/>
    <xf numFmtId="1" fontId="0" fillId="2" borderId="7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left" wrapText="1"/>
    </xf>
    <xf numFmtId="2" fontId="0" fillId="3" borderId="27" xfId="0" applyNumberFormat="1" applyFill="1" applyBorder="1"/>
    <xf numFmtId="164" fontId="2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164" fontId="4" fillId="0" borderId="0" xfId="1" applyNumberFormat="1" applyProtection="1"/>
  </cellXfs>
  <cellStyles count="3">
    <cellStyle name="Hyperlink" xfId="1" builtinId="8"/>
    <cellStyle name="Normal" xfId="0" builtinId="0"/>
    <cellStyle name="Normal_2 Phase Look-Up Lists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88</xdr:row>
      <xdr:rowOff>73025</xdr:rowOff>
    </xdr:from>
    <xdr:to>
      <xdr:col>2</xdr:col>
      <xdr:colOff>561975</xdr:colOff>
      <xdr:row>90</xdr:row>
      <xdr:rowOff>38101</xdr:rowOff>
    </xdr:to>
    <xdr:grpSp>
      <xdr:nvGrpSpPr>
        <xdr:cNvPr id="12" name="Group 11"/>
        <xdr:cNvGrpSpPr/>
      </xdr:nvGrpSpPr>
      <xdr:grpSpPr>
        <a:xfrm>
          <a:off x="104775" y="16989425"/>
          <a:ext cx="1285875" cy="346076"/>
          <a:chOff x="104775" y="13998575"/>
          <a:chExt cx="1247775" cy="346076"/>
        </a:xfrm>
      </xdr:grpSpPr>
      <xdr:sp macro="" textlink="">
        <xdr:nvSpPr>
          <xdr:cNvPr id="4" name="Freeform 3"/>
          <xdr:cNvSpPr/>
        </xdr:nvSpPr>
        <xdr:spPr>
          <a:xfrm>
            <a:off x="457200" y="14001750"/>
            <a:ext cx="571500" cy="85725"/>
          </a:xfrm>
          <a:custGeom>
            <a:avLst/>
            <a:gdLst>
              <a:gd name="connsiteX0" fmla="*/ 0 w 571500"/>
              <a:gd name="connsiteY0" fmla="*/ 0 h 133350"/>
              <a:gd name="connsiteX1" fmla="*/ 247650 w 571500"/>
              <a:gd name="connsiteY1" fmla="*/ 0 h 133350"/>
              <a:gd name="connsiteX2" fmla="*/ 247650 w 571500"/>
              <a:gd name="connsiteY2" fmla="*/ 133350 h 133350"/>
              <a:gd name="connsiteX3" fmla="*/ 571500 w 571500"/>
              <a:gd name="connsiteY3" fmla="*/ 133350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0" h="133350">
                <a:moveTo>
                  <a:pt x="0" y="0"/>
                </a:moveTo>
                <a:lnTo>
                  <a:pt x="247650" y="0"/>
                </a:lnTo>
                <a:lnTo>
                  <a:pt x="247650" y="133350"/>
                </a:lnTo>
                <a:lnTo>
                  <a:pt x="571500" y="1333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6" name="Freeform 5"/>
          <xdr:cNvSpPr/>
        </xdr:nvSpPr>
        <xdr:spPr>
          <a:xfrm flipV="1">
            <a:off x="457200" y="14230350"/>
            <a:ext cx="571500" cy="85725"/>
          </a:xfrm>
          <a:custGeom>
            <a:avLst/>
            <a:gdLst>
              <a:gd name="connsiteX0" fmla="*/ 0 w 571500"/>
              <a:gd name="connsiteY0" fmla="*/ 0 h 133350"/>
              <a:gd name="connsiteX1" fmla="*/ 247650 w 571500"/>
              <a:gd name="connsiteY1" fmla="*/ 0 h 133350"/>
              <a:gd name="connsiteX2" fmla="*/ 247650 w 571500"/>
              <a:gd name="connsiteY2" fmla="*/ 133350 h 133350"/>
              <a:gd name="connsiteX3" fmla="*/ 571500 w 571500"/>
              <a:gd name="connsiteY3" fmla="*/ 133350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0" h="133350">
                <a:moveTo>
                  <a:pt x="0" y="0"/>
                </a:moveTo>
                <a:lnTo>
                  <a:pt x="247650" y="0"/>
                </a:lnTo>
                <a:lnTo>
                  <a:pt x="247650" y="133350"/>
                </a:lnTo>
                <a:lnTo>
                  <a:pt x="571500" y="1333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04775" y="1400175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981075" y="1402080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cxnSp macro="">
        <xdr:nvCxnSpPr>
          <xdr:cNvPr id="5" name="Straight Arrow Connector 4"/>
          <xdr:cNvCxnSpPr/>
        </xdr:nvCxnSpPr>
        <xdr:spPr>
          <a:xfrm>
            <a:off x="542925" y="13998575"/>
            <a:ext cx="0" cy="31432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/>
          <xdr:cNvCxnSpPr/>
        </xdr:nvCxnSpPr>
        <xdr:spPr>
          <a:xfrm>
            <a:off x="893763" y="14082712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104775</xdr:colOff>
      <xdr:row>92</xdr:row>
      <xdr:rowOff>95250</xdr:rowOff>
    </xdr:from>
    <xdr:to>
      <xdr:col>2</xdr:col>
      <xdr:colOff>571500</xdr:colOff>
      <xdr:row>94</xdr:row>
      <xdr:rowOff>69851</xdr:rowOff>
    </xdr:to>
    <xdr:grpSp>
      <xdr:nvGrpSpPr>
        <xdr:cNvPr id="22" name="Group 21"/>
        <xdr:cNvGrpSpPr/>
      </xdr:nvGrpSpPr>
      <xdr:grpSpPr>
        <a:xfrm>
          <a:off x="104775" y="17773650"/>
          <a:ext cx="1295400" cy="355601"/>
          <a:chOff x="104775" y="14782800"/>
          <a:chExt cx="1257300" cy="355601"/>
        </a:xfrm>
      </xdr:grpSpPr>
      <xdr:sp macro="" textlink="">
        <xdr:nvSpPr>
          <xdr:cNvPr id="15" name="TextBox 14"/>
          <xdr:cNvSpPr txBox="1"/>
        </xdr:nvSpPr>
        <xdr:spPr>
          <a:xfrm>
            <a:off x="104775" y="14792326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990600" y="14811376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sp macro="" textlink="">
        <xdr:nvSpPr>
          <xdr:cNvPr id="17" name="Freeform 16"/>
          <xdr:cNvSpPr/>
        </xdr:nvSpPr>
        <xdr:spPr>
          <a:xfrm>
            <a:off x="390525" y="14782800"/>
            <a:ext cx="628650" cy="95250"/>
          </a:xfrm>
          <a:custGeom>
            <a:avLst/>
            <a:gdLst>
              <a:gd name="connsiteX0" fmla="*/ 0 w 628650"/>
              <a:gd name="connsiteY0" fmla="*/ 0 h 95250"/>
              <a:gd name="connsiteX1" fmla="*/ 257175 w 628650"/>
              <a:gd name="connsiteY1" fmla="*/ 0 h 95250"/>
              <a:gd name="connsiteX2" fmla="*/ 352425 w 628650"/>
              <a:gd name="connsiteY2" fmla="*/ 95250 h 95250"/>
              <a:gd name="connsiteX3" fmla="*/ 628650 w 628650"/>
              <a:gd name="connsiteY3" fmla="*/ 95250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650" h="95250">
                <a:moveTo>
                  <a:pt x="0" y="0"/>
                </a:moveTo>
                <a:lnTo>
                  <a:pt x="257175" y="0"/>
                </a:lnTo>
                <a:lnTo>
                  <a:pt x="352425" y="95250"/>
                </a:lnTo>
                <a:lnTo>
                  <a:pt x="628650" y="952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8" name="Freeform 17"/>
          <xdr:cNvSpPr/>
        </xdr:nvSpPr>
        <xdr:spPr>
          <a:xfrm flipV="1">
            <a:off x="409575" y="15020925"/>
            <a:ext cx="628650" cy="95250"/>
          </a:xfrm>
          <a:custGeom>
            <a:avLst/>
            <a:gdLst>
              <a:gd name="connsiteX0" fmla="*/ 0 w 628650"/>
              <a:gd name="connsiteY0" fmla="*/ 0 h 95250"/>
              <a:gd name="connsiteX1" fmla="*/ 257175 w 628650"/>
              <a:gd name="connsiteY1" fmla="*/ 0 h 95250"/>
              <a:gd name="connsiteX2" fmla="*/ 352425 w 628650"/>
              <a:gd name="connsiteY2" fmla="*/ 95250 h 95250"/>
              <a:gd name="connsiteX3" fmla="*/ 628650 w 628650"/>
              <a:gd name="connsiteY3" fmla="*/ 95250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650" h="95250">
                <a:moveTo>
                  <a:pt x="0" y="0"/>
                </a:moveTo>
                <a:lnTo>
                  <a:pt x="257175" y="0"/>
                </a:lnTo>
                <a:lnTo>
                  <a:pt x="352425" y="95250"/>
                </a:lnTo>
                <a:lnTo>
                  <a:pt x="628650" y="952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9" name="Arc 18"/>
          <xdr:cNvSpPr/>
        </xdr:nvSpPr>
        <xdr:spPr>
          <a:xfrm>
            <a:off x="581025" y="14801850"/>
            <a:ext cx="400050" cy="285750"/>
          </a:xfrm>
          <a:prstGeom prst="arc">
            <a:avLst>
              <a:gd name="adj1" fmla="val 7280917"/>
              <a:gd name="adj2" fmla="val 14394188"/>
            </a:avLst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387350" y="1481455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baseline="0">
                <a:latin typeface="Calibri"/>
              </a:rPr>
              <a:t>θ</a:t>
            </a:r>
            <a:endParaRPr lang="en-IN" sz="1100" baseline="-25000"/>
          </a:p>
        </xdr:txBody>
      </xdr:sp>
      <xdr:cxnSp macro="">
        <xdr:nvCxnSpPr>
          <xdr:cNvPr id="75" name="Straight Arrow Connector 74"/>
          <xdr:cNvCxnSpPr/>
        </xdr:nvCxnSpPr>
        <xdr:spPr>
          <a:xfrm>
            <a:off x="447675" y="14792325"/>
            <a:ext cx="0" cy="31432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/>
          <xdr:cNvCxnSpPr/>
        </xdr:nvCxnSpPr>
        <xdr:spPr>
          <a:xfrm>
            <a:off x="866775" y="14868525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96</xdr:row>
      <xdr:rowOff>0</xdr:rowOff>
    </xdr:from>
    <xdr:to>
      <xdr:col>2</xdr:col>
      <xdr:colOff>600075</xdr:colOff>
      <xdr:row>98</xdr:row>
      <xdr:rowOff>104775</xdr:rowOff>
    </xdr:to>
    <xdr:grpSp>
      <xdr:nvGrpSpPr>
        <xdr:cNvPr id="39" name="Group 38"/>
        <xdr:cNvGrpSpPr/>
      </xdr:nvGrpSpPr>
      <xdr:grpSpPr>
        <a:xfrm>
          <a:off x="114300" y="18440400"/>
          <a:ext cx="1314450" cy="485775"/>
          <a:chOff x="114300" y="15449550"/>
          <a:chExt cx="1276350" cy="485775"/>
        </a:xfrm>
      </xdr:grpSpPr>
      <xdr:sp macro="" textlink="">
        <xdr:nvSpPr>
          <xdr:cNvPr id="26" name="Flowchart: Terminator 25"/>
          <xdr:cNvSpPr/>
        </xdr:nvSpPr>
        <xdr:spPr>
          <a:xfrm>
            <a:off x="200025" y="15506701"/>
            <a:ext cx="628650" cy="381000"/>
          </a:xfrm>
          <a:prstGeom prst="flowChartTerminator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180975" y="15449550"/>
            <a:ext cx="238125" cy="485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28" name="Rectangle 27"/>
          <xdr:cNvSpPr/>
        </xdr:nvSpPr>
        <xdr:spPr>
          <a:xfrm rot="5400000">
            <a:off x="776286" y="15454313"/>
            <a:ext cx="171450" cy="485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30" name="Straight Connector 29"/>
          <xdr:cNvCxnSpPr/>
        </xdr:nvCxnSpPr>
        <xdr:spPr>
          <a:xfrm flipH="1">
            <a:off x="809625" y="15601950"/>
            <a:ext cx="257175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" name="Straight Connector 30"/>
          <xdr:cNvCxnSpPr/>
        </xdr:nvCxnSpPr>
        <xdr:spPr>
          <a:xfrm flipH="1">
            <a:off x="809625" y="15773400"/>
            <a:ext cx="257175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32" name="TextBox 31"/>
          <xdr:cNvSpPr txBox="1"/>
        </xdr:nvSpPr>
        <xdr:spPr>
          <a:xfrm>
            <a:off x="1019175" y="15544800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sp macro="" textlink="">
        <xdr:nvSpPr>
          <xdr:cNvPr id="33" name="TextBox 32"/>
          <xdr:cNvSpPr txBox="1"/>
        </xdr:nvSpPr>
        <xdr:spPr>
          <a:xfrm>
            <a:off x="114300" y="15544800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cxnSp macro="">
        <xdr:nvCxnSpPr>
          <xdr:cNvPr id="77" name="Straight Arrow Connector 76"/>
          <xdr:cNvCxnSpPr/>
        </xdr:nvCxnSpPr>
        <xdr:spPr>
          <a:xfrm>
            <a:off x="476250" y="15516225"/>
            <a:ext cx="0" cy="37147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Arrow Connector 77"/>
          <xdr:cNvCxnSpPr/>
        </xdr:nvCxnSpPr>
        <xdr:spPr>
          <a:xfrm>
            <a:off x="876300" y="15611475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102</xdr:row>
      <xdr:rowOff>85726</xdr:rowOff>
    </xdr:from>
    <xdr:to>
      <xdr:col>2</xdr:col>
      <xdr:colOff>600075</xdr:colOff>
      <xdr:row>104</xdr:row>
      <xdr:rowOff>28576</xdr:rowOff>
    </xdr:to>
    <xdr:grpSp>
      <xdr:nvGrpSpPr>
        <xdr:cNvPr id="34" name="Group 33"/>
        <xdr:cNvGrpSpPr/>
      </xdr:nvGrpSpPr>
      <xdr:grpSpPr>
        <a:xfrm>
          <a:off x="114300" y="19669126"/>
          <a:ext cx="1314450" cy="323850"/>
          <a:chOff x="123825" y="16297276"/>
          <a:chExt cx="1276350" cy="323850"/>
        </a:xfrm>
      </xdr:grpSpPr>
      <xdr:sp macro="" textlink="">
        <xdr:nvSpPr>
          <xdr:cNvPr id="25" name="TextBox 24"/>
          <xdr:cNvSpPr txBox="1"/>
        </xdr:nvSpPr>
        <xdr:spPr>
          <a:xfrm>
            <a:off x="123825" y="16297276"/>
            <a:ext cx="370546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1028163" y="16297276"/>
            <a:ext cx="372012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cxnSp macro="">
        <xdr:nvCxnSpPr>
          <xdr:cNvPr id="3" name="Straight Connector 2"/>
          <xdr:cNvCxnSpPr/>
        </xdr:nvCxnSpPr>
        <xdr:spPr>
          <a:xfrm>
            <a:off x="494633" y="16306800"/>
            <a:ext cx="552533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504134" y="16580784"/>
            <a:ext cx="552533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766998" y="16312098"/>
            <a:ext cx="0" cy="82124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" name="Straight Connector 37"/>
          <xdr:cNvCxnSpPr/>
        </xdr:nvCxnSpPr>
        <xdr:spPr>
          <a:xfrm>
            <a:off x="767931" y="16506433"/>
            <a:ext cx="0" cy="75215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9" name="Straight Arrow Connector 78"/>
          <xdr:cNvCxnSpPr/>
        </xdr:nvCxnSpPr>
        <xdr:spPr>
          <a:xfrm>
            <a:off x="581025" y="16301671"/>
            <a:ext cx="0" cy="290879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/>
          <xdr:cNvCxnSpPr/>
        </xdr:nvCxnSpPr>
        <xdr:spPr>
          <a:xfrm>
            <a:off x="893134" y="16387400"/>
            <a:ext cx="0" cy="124554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>
            <a:off x="809293" y="16394723"/>
            <a:ext cx="205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/>
          <xdr:cNvCxnSpPr/>
        </xdr:nvCxnSpPr>
        <xdr:spPr>
          <a:xfrm>
            <a:off x="805228" y="16507889"/>
            <a:ext cx="20515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136772</xdr:colOff>
      <xdr:row>105</xdr:row>
      <xdr:rowOff>133784</xdr:rowOff>
    </xdr:from>
    <xdr:to>
      <xdr:col>2</xdr:col>
      <xdr:colOff>600184</xdr:colOff>
      <xdr:row>108</xdr:row>
      <xdr:rowOff>106600</xdr:rowOff>
    </xdr:to>
    <xdr:grpSp>
      <xdr:nvGrpSpPr>
        <xdr:cNvPr id="36" name="Group 35"/>
        <xdr:cNvGrpSpPr/>
      </xdr:nvGrpSpPr>
      <xdr:grpSpPr>
        <a:xfrm>
          <a:off x="136772" y="20288684"/>
          <a:ext cx="1292087" cy="544316"/>
          <a:chOff x="136772" y="16916834"/>
          <a:chExt cx="1253987" cy="544316"/>
        </a:xfrm>
      </xdr:grpSpPr>
      <xdr:sp macro="" textlink="">
        <xdr:nvSpPr>
          <xdr:cNvPr id="40" name="TextBox 39"/>
          <xdr:cNvSpPr txBox="1"/>
        </xdr:nvSpPr>
        <xdr:spPr>
          <a:xfrm>
            <a:off x="136772" y="17133671"/>
            <a:ext cx="371311" cy="322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41" name="TextBox 40"/>
          <xdr:cNvSpPr txBox="1"/>
        </xdr:nvSpPr>
        <xdr:spPr>
          <a:xfrm>
            <a:off x="1019448" y="17138960"/>
            <a:ext cx="371311" cy="322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sp macro="" textlink="">
        <xdr:nvSpPr>
          <xdr:cNvPr id="47" name="Freeform 46"/>
          <xdr:cNvSpPr/>
        </xdr:nvSpPr>
        <xdr:spPr>
          <a:xfrm>
            <a:off x="485930" y="17128382"/>
            <a:ext cx="550922" cy="105775"/>
          </a:xfrm>
          <a:custGeom>
            <a:avLst/>
            <a:gdLst>
              <a:gd name="connsiteX0" fmla="*/ 0 w 551166"/>
              <a:gd name="connsiteY0" fmla="*/ 0 h 107023"/>
              <a:gd name="connsiteX1" fmla="*/ 160534 w 551166"/>
              <a:gd name="connsiteY1" fmla="*/ 0 h 107023"/>
              <a:gd name="connsiteX2" fmla="*/ 160534 w 551166"/>
              <a:gd name="connsiteY2" fmla="*/ 107023 h 107023"/>
              <a:gd name="connsiteX3" fmla="*/ 379930 w 551166"/>
              <a:gd name="connsiteY3" fmla="*/ 107023 h 107023"/>
              <a:gd name="connsiteX4" fmla="*/ 379930 w 551166"/>
              <a:gd name="connsiteY4" fmla="*/ 5351 h 107023"/>
              <a:gd name="connsiteX5" fmla="*/ 551166 w 551166"/>
              <a:gd name="connsiteY5" fmla="*/ 5351 h 107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551166" h="107023">
                <a:moveTo>
                  <a:pt x="0" y="0"/>
                </a:moveTo>
                <a:lnTo>
                  <a:pt x="160534" y="0"/>
                </a:lnTo>
                <a:lnTo>
                  <a:pt x="160534" y="107023"/>
                </a:lnTo>
                <a:lnTo>
                  <a:pt x="379930" y="107023"/>
                </a:lnTo>
                <a:lnTo>
                  <a:pt x="379930" y="5351"/>
                </a:lnTo>
                <a:lnTo>
                  <a:pt x="551166" y="5351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8" name="Freeform 47"/>
          <xdr:cNvSpPr/>
        </xdr:nvSpPr>
        <xdr:spPr>
          <a:xfrm flipV="1">
            <a:off x="491276" y="17334643"/>
            <a:ext cx="550922" cy="105775"/>
          </a:xfrm>
          <a:custGeom>
            <a:avLst/>
            <a:gdLst>
              <a:gd name="connsiteX0" fmla="*/ 0 w 551166"/>
              <a:gd name="connsiteY0" fmla="*/ 0 h 107023"/>
              <a:gd name="connsiteX1" fmla="*/ 160534 w 551166"/>
              <a:gd name="connsiteY1" fmla="*/ 0 h 107023"/>
              <a:gd name="connsiteX2" fmla="*/ 160534 w 551166"/>
              <a:gd name="connsiteY2" fmla="*/ 107023 h 107023"/>
              <a:gd name="connsiteX3" fmla="*/ 379930 w 551166"/>
              <a:gd name="connsiteY3" fmla="*/ 107023 h 107023"/>
              <a:gd name="connsiteX4" fmla="*/ 379930 w 551166"/>
              <a:gd name="connsiteY4" fmla="*/ 5351 h 107023"/>
              <a:gd name="connsiteX5" fmla="*/ 551166 w 551166"/>
              <a:gd name="connsiteY5" fmla="*/ 5351 h 107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551166" h="107023">
                <a:moveTo>
                  <a:pt x="0" y="0"/>
                </a:moveTo>
                <a:lnTo>
                  <a:pt x="160534" y="0"/>
                </a:lnTo>
                <a:lnTo>
                  <a:pt x="160534" y="107023"/>
                </a:lnTo>
                <a:lnTo>
                  <a:pt x="379930" y="107023"/>
                </a:lnTo>
                <a:lnTo>
                  <a:pt x="379930" y="5351"/>
                </a:lnTo>
                <a:lnTo>
                  <a:pt x="551166" y="5351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9" name="TextBox 48"/>
          <xdr:cNvSpPr txBox="1"/>
        </xdr:nvSpPr>
        <xdr:spPr>
          <a:xfrm>
            <a:off x="635695" y="16916834"/>
            <a:ext cx="371311" cy="322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L</a:t>
            </a:r>
            <a:endParaRPr lang="en-IN" sz="1100" baseline="-25000"/>
          </a:p>
        </xdr:txBody>
      </xdr:sp>
      <xdr:cxnSp macro="">
        <xdr:nvCxnSpPr>
          <xdr:cNvPr id="65" name="Straight Arrow Connector 64"/>
          <xdr:cNvCxnSpPr/>
        </xdr:nvCxnSpPr>
        <xdr:spPr>
          <a:xfrm>
            <a:off x="542925" y="17116425"/>
            <a:ext cx="0" cy="31432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/>
          <xdr:cNvCxnSpPr/>
        </xdr:nvCxnSpPr>
        <xdr:spPr>
          <a:xfrm>
            <a:off x="762000" y="17221200"/>
            <a:ext cx="0" cy="124554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123825</xdr:colOff>
      <xdr:row>113</xdr:row>
      <xdr:rowOff>0</xdr:rowOff>
    </xdr:from>
    <xdr:to>
      <xdr:col>2</xdr:col>
      <xdr:colOff>581025</xdr:colOff>
      <xdr:row>114</xdr:row>
      <xdr:rowOff>155576</xdr:rowOff>
    </xdr:to>
    <xdr:grpSp>
      <xdr:nvGrpSpPr>
        <xdr:cNvPr id="83" name="Group 82"/>
        <xdr:cNvGrpSpPr/>
      </xdr:nvGrpSpPr>
      <xdr:grpSpPr>
        <a:xfrm flipH="1">
          <a:off x="123825" y="21678900"/>
          <a:ext cx="1285875" cy="346076"/>
          <a:chOff x="104775" y="13998575"/>
          <a:chExt cx="1247775" cy="346076"/>
        </a:xfrm>
      </xdr:grpSpPr>
      <xdr:sp macro="" textlink="">
        <xdr:nvSpPr>
          <xdr:cNvPr id="84" name="Freeform 83"/>
          <xdr:cNvSpPr/>
        </xdr:nvSpPr>
        <xdr:spPr>
          <a:xfrm>
            <a:off x="457200" y="14001750"/>
            <a:ext cx="571500" cy="85725"/>
          </a:xfrm>
          <a:custGeom>
            <a:avLst/>
            <a:gdLst>
              <a:gd name="connsiteX0" fmla="*/ 0 w 571500"/>
              <a:gd name="connsiteY0" fmla="*/ 0 h 133350"/>
              <a:gd name="connsiteX1" fmla="*/ 247650 w 571500"/>
              <a:gd name="connsiteY1" fmla="*/ 0 h 133350"/>
              <a:gd name="connsiteX2" fmla="*/ 247650 w 571500"/>
              <a:gd name="connsiteY2" fmla="*/ 133350 h 133350"/>
              <a:gd name="connsiteX3" fmla="*/ 571500 w 571500"/>
              <a:gd name="connsiteY3" fmla="*/ 133350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0" h="133350">
                <a:moveTo>
                  <a:pt x="0" y="0"/>
                </a:moveTo>
                <a:lnTo>
                  <a:pt x="247650" y="0"/>
                </a:lnTo>
                <a:lnTo>
                  <a:pt x="247650" y="133350"/>
                </a:lnTo>
                <a:lnTo>
                  <a:pt x="571500" y="1333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85" name="Freeform 84"/>
          <xdr:cNvSpPr/>
        </xdr:nvSpPr>
        <xdr:spPr>
          <a:xfrm flipV="1">
            <a:off x="457200" y="14230350"/>
            <a:ext cx="571500" cy="85725"/>
          </a:xfrm>
          <a:custGeom>
            <a:avLst/>
            <a:gdLst>
              <a:gd name="connsiteX0" fmla="*/ 0 w 571500"/>
              <a:gd name="connsiteY0" fmla="*/ 0 h 133350"/>
              <a:gd name="connsiteX1" fmla="*/ 247650 w 571500"/>
              <a:gd name="connsiteY1" fmla="*/ 0 h 133350"/>
              <a:gd name="connsiteX2" fmla="*/ 247650 w 571500"/>
              <a:gd name="connsiteY2" fmla="*/ 133350 h 133350"/>
              <a:gd name="connsiteX3" fmla="*/ 571500 w 571500"/>
              <a:gd name="connsiteY3" fmla="*/ 133350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71500" h="133350">
                <a:moveTo>
                  <a:pt x="0" y="0"/>
                </a:moveTo>
                <a:lnTo>
                  <a:pt x="247650" y="0"/>
                </a:lnTo>
                <a:lnTo>
                  <a:pt x="247650" y="133350"/>
                </a:lnTo>
                <a:lnTo>
                  <a:pt x="571500" y="1333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86" name="TextBox 85"/>
          <xdr:cNvSpPr txBox="1"/>
        </xdr:nvSpPr>
        <xdr:spPr>
          <a:xfrm>
            <a:off x="104775" y="1400175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sp macro="" textlink="">
        <xdr:nvSpPr>
          <xdr:cNvPr id="87" name="TextBox 86"/>
          <xdr:cNvSpPr txBox="1"/>
        </xdr:nvSpPr>
        <xdr:spPr>
          <a:xfrm>
            <a:off x="981075" y="1402080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cxnSp macro="">
        <xdr:nvCxnSpPr>
          <xdr:cNvPr id="88" name="Straight Arrow Connector 87"/>
          <xdr:cNvCxnSpPr/>
        </xdr:nvCxnSpPr>
        <xdr:spPr>
          <a:xfrm>
            <a:off x="542925" y="13998575"/>
            <a:ext cx="0" cy="31432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Arrow Connector 88"/>
          <xdr:cNvCxnSpPr/>
        </xdr:nvCxnSpPr>
        <xdr:spPr>
          <a:xfrm>
            <a:off x="893763" y="14082712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123825</xdr:colOff>
      <xdr:row>116</xdr:row>
      <xdr:rowOff>123825</xdr:rowOff>
    </xdr:from>
    <xdr:to>
      <xdr:col>2</xdr:col>
      <xdr:colOff>590550</xdr:colOff>
      <xdr:row>118</xdr:row>
      <xdr:rowOff>98426</xdr:rowOff>
    </xdr:to>
    <xdr:grpSp>
      <xdr:nvGrpSpPr>
        <xdr:cNvPr id="90" name="Group 89"/>
        <xdr:cNvGrpSpPr/>
      </xdr:nvGrpSpPr>
      <xdr:grpSpPr>
        <a:xfrm flipH="1">
          <a:off x="123825" y="22374225"/>
          <a:ext cx="1295400" cy="355601"/>
          <a:chOff x="104775" y="14782800"/>
          <a:chExt cx="1257300" cy="355601"/>
        </a:xfrm>
      </xdr:grpSpPr>
      <xdr:sp macro="" textlink="">
        <xdr:nvSpPr>
          <xdr:cNvPr id="91" name="TextBox 90"/>
          <xdr:cNvSpPr txBox="1"/>
        </xdr:nvSpPr>
        <xdr:spPr>
          <a:xfrm>
            <a:off x="104775" y="14792326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sp macro="" textlink="">
        <xdr:nvSpPr>
          <xdr:cNvPr id="92" name="TextBox 91"/>
          <xdr:cNvSpPr txBox="1"/>
        </xdr:nvSpPr>
        <xdr:spPr>
          <a:xfrm>
            <a:off x="990600" y="14811376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93" name="Freeform 92"/>
          <xdr:cNvSpPr/>
        </xdr:nvSpPr>
        <xdr:spPr>
          <a:xfrm>
            <a:off x="390525" y="14782800"/>
            <a:ext cx="628650" cy="95250"/>
          </a:xfrm>
          <a:custGeom>
            <a:avLst/>
            <a:gdLst>
              <a:gd name="connsiteX0" fmla="*/ 0 w 628650"/>
              <a:gd name="connsiteY0" fmla="*/ 0 h 95250"/>
              <a:gd name="connsiteX1" fmla="*/ 257175 w 628650"/>
              <a:gd name="connsiteY1" fmla="*/ 0 h 95250"/>
              <a:gd name="connsiteX2" fmla="*/ 352425 w 628650"/>
              <a:gd name="connsiteY2" fmla="*/ 95250 h 95250"/>
              <a:gd name="connsiteX3" fmla="*/ 628650 w 628650"/>
              <a:gd name="connsiteY3" fmla="*/ 95250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650" h="95250">
                <a:moveTo>
                  <a:pt x="0" y="0"/>
                </a:moveTo>
                <a:lnTo>
                  <a:pt x="257175" y="0"/>
                </a:lnTo>
                <a:lnTo>
                  <a:pt x="352425" y="95250"/>
                </a:lnTo>
                <a:lnTo>
                  <a:pt x="628650" y="952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94" name="Freeform 93"/>
          <xdr:cNvSpPr/>
        </xdr:nvSpPr>
        <xdr:spPr>
          <a:xfrm flipV="1">
            <a:off x="409575" y="15020925"/>
            <a:ext cx="628650" cy="95250"/>
          </a:xfrm>
          <a:custGeom>
            <a:avLst/>
            <a:gdLst>
              <a:gd name="connsiteX0" fmla="*/ 0 w 628650"/>
              <a:gd name="connsiteY0" fmla="*/ 0 h 95250"/>
              <a:gd name="connsiteX1" fmla="*/ 257175 w 628650"/>
              <a:gd name="connsiteY1" fmla="*/ 0 h 95250"/>
              <a:gd name="connsiteX2" fmla="*/ 352425 w 628650"/>
              <a:gd name="connsiteY2" fmla="*/ 95250 h 95250"/>
              <a:gd name="connsiteX3" fmla="*/ 628650 w 628650"/>
              <a:gd name="connsiteY3" fmla="*/ 95250 h 95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650" h="95250">
                <a:moveTo>
                  <a:pt x="0" y="0"/>
                </a:moveTo>
                <a:lnTo>
                  <a:pt x="257175" y="0"/>
                </a:lnTo>
                <a:lnTo>
                  <a:pt x="352425" y="95250"/>
                </a:lnTo>
                <a:lnTo>
                  <a:pt x="628650" y="952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95" name="Arc 94"/>
          <xdr:cNvSpPr/>
        </xdr:nvSpPr>
        <xdr:spPr>
          <a:xfrm>
            <a:off x="581025" y="14801850"/>
            <a:ext cx="400050" cy="285750"/>
          </a:xfrm>
          <a:prstGeom prst="arc">
            <a:avLst>
              <a:gd name="adj1" fmla="val 7280917"/>
              <a:gd name="adj2" fmla="val 14394188"/>
            </a:avLst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96" name="TextBox 95"/>
          <xdr:cNvSpPr txBox="1"/>
        </xdr:nvSpPr>
        <xdr:spPr>
          <a:xfrm>
            <a:off x="263525" y="14814551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baseline="0">
                <a:latin typeface="Calibri"/>
              </a:rPr>
              <a:t>θ</a:t>
            </a:r>
            <a:endParaRPr lang="en-IN" sz="1100" baseline="-25000"/>
          </a:p>
        </xdr:txBody>
      </xdr:sp>
      <xdr:cxnSp macro="">
        <xdr:nvCxnSpPr>
          <xdr:cNvPr id="97" name="Straight Arrow Connector 96"/>
          <xdr:cNvCxnSpPr/>
        </xdr:nvCxnSpPr>
        <xdr:spPr>
          <a:xfrm>
            <a:off x="438150" y="14792325"/>
            <a:ext cx="0" cy="31432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Arrow Connector 97"/>
          <xdr:cNvCxnSpPr/>
        </xdr:nvCxnSpPr>
        <xdr:spPr>
          <a:xfrm>
            <a:off x="866775" y="14868525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123825</xdr:colOff>
      <xdr:row>121</xdr:row>
      <xdr:rowOff>28575</xdr:rowOff>
    </xdr:from>
    <xdr:to>
      <xdr:col>3</xdr:col>
      <xdr:colOff>0</xdr:colOff>
      <xdr:row>123</xdr:row>
      <xdr:rowOff>133350</xdr:rowOff>
    </xdr:to>
    <xdr:grpSp>
      <xdr:nvGrpSpPr>
        <xdr:cNvPr id="99" name="Group 98"/>
        <xdr:cNvGrpSpPr/>
      </xdr:nvGrpSpPr>
      <xdr:grpSpPr>
        <a:xfrm flipH="1">
          <a:off x="123825" y="23231475"/>
          <a:ext cx="1314450" cy="485775"/>
          <a:chOff x="114300" y="15449550"/>
          <a:chExt cx="1276350" cy="485775"/>
        </a:xfrm>
      </xdr:grpSpPr>
      <xdr:sp macro="" textlink="">
        <xdr:nvSpPr>
          <xdr:cNvPr id="100" name="Flowchart: Terminator 99"/>
          <xdr:cNvSpPr/>
        </xdr:nvSpPr>
        <xdr:spPr>
          <a:xfrm>
            <a:off x="200025" y="15506701"/>
            <a:ext cx="628650" cy="381000"/>
          </a:xfrm>
          <a:prstGeom prst="flowChartTerminator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01" name="Rectangle 100"/>
          <xdr:cNvSpPr/>
        </xdr:nvSpPr>
        <xdr:spPr>
          <a:xfrm>
            <a:off x="180975" y="15449550"/>
            <a:ext cx="238125" cy="485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02" name="Rectangle 101"/>
          <xdr:cNvSpPr/>
        </xdr:nvSpPr>
        <xdr:spPr>
          <a:xfrm rot="5400000">
            <a:off x="776286" y="15454313"/>
            <a:ext cx="171450" cy="485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103" name="Straight Connector 102"/>
          <xdr:cNvCxnSpPr/>
        </xdr:nvCxnSpPr>
        <xdr:spPr>
          <a:xfrm flipH="1">
            <a:off x="809625" y="15601950"/>
            <a:ext cx="257175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4" name="Straight Connector 103"/>
          <xdr:cNvCxnSpPr/>
        </xdr:nvCxnSpPr>
        <xdr:spPr>
          <a:xfrm flipH="1">
            <a:off x="809625" y="15773400"/>
            <a:ext cx="257175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05" name="TextBox 104"/>
          <xdr:cNvSpPr txBox="1"/>
        </xdr:nvSpPr>
        <xdr:spPr>
          <a:xfrm>
            <a:off x="1019175" y="15544800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1</a:t>
            </a:r>
          </a:p>
        </xdr:txBody>
      </xdr:sp>
      <xdr:sp macro="" textlink="">
        <xdr:nvSpPr>
          <xdr:cNvPr id="106" name="TextBox 105"/>
          <xdr:cNvSpPr txBox="1"/>
        </xdr:nvSpPr>
        <xdr:spPr>
          <a:xfrm>
            <a:off x="114300" y="15544800"/>
            <a:ext cx="3714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D</a:t>
            </a:r>
            <a:r>
              <a:rPr lang="en-IN" sz="1100" baseline="-25000"/>
              <a:t>2</a:t>
            </a:r>
          </a:p>
        </xdr:txBody>
      </xdr:sp>
      <xdr:cxnSp macro="">
        <xdr:nvCxnSpPr>
          <xdr:cNvPr id="107" name="Straight Arrow Connector 106"/>
          <xdr:cNvCxnSpPr/>
        </xdr:nvCxnSpPr>
        <xdr:spPr>
          <a:xfrm>
            <a:off x="476250" y="15516225"/>
            <a:ext cx="0" cy="371475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/>
          <xdr:cNvCxnSpPr/>
        </xdr:nvCxnSpPr>
        <xdr:spPr>
          <a:xfrm>
            <a:off x="876300" y="15611475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133350</xdr:colOff>
      <xdr:row>127</xdr:row>
      <xdr:rowOff>66675</xdr:rowOff>
    </xdr:from>
    <xdr:to>
      <xdr:col>2</xdr:col>
      <xdr:colOff>114300</xdr:colOff>
      <xdr:row>129</xdr:row>
      <xdr:rowOff>123825</xdr:rowOff>
    </xdr:to>
    <xdr:grpSp>
      <xdr:nvGrpSpPr>
        <xdr:cNvPr id="46" name="Group 45"/>
        <xdr:cNvGrpSpPr/>
      </xdr:nvGrpSpPr>
      <xdr:grpSpPr>
        <a:xfrm>
          <a:off x="314325" y="24412575"/>
          <a:ext cx="628650" cy="438150"/>
          <a:chOff x="314325" y="21040725"/>
          <a:chExt cx="590550" cy="438150"/>
        </a:xfrm>
      </xdr:grpSpPr>
      <xdr:sp macro="" textlink="">
        <xdr:nvSpPr>
          <xdr:cNvPr id="42" name="Freeform 41"/>
          <xdr:cNvSpPr/>
        </xdr:nvSpPr>
        <xdr:spPr>
          <a:xfrm>
            <a:off x="495300" y="21040725"/>
            <a:ext cx="409575" cy="142875"/>
          </a:xfrm>
          <a:custGeom>
            <a:avLst/>
            <a:gdLst>
              <a:gd name="connsiteX0" fmla="*/ 0 w 409575"/>
              <a:gd name="connsiteY0" fmla="*/ 0 h 142875"/>
              <a:gd name="connsiteX1" fmla="*/ 0 w 409575"/>
              <a:gd name="connsiteY1" fmla="*/ 142875 h 142875"/>
              <a:gd name="connsiteX2" fmla="*/ 409575 w 409575"/>
              <a:gd name="connsiteY2" fmla="*/ 142875 h 1428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09575" h="142875">
                <a:moveTo>
                  <a:pt x="0" y="0"/>
                </a:moveTo>
                <a:lnTo>
                  <a:pt x="0" y="142875"/>
                </a:lnTo>
                <a:lnTo>
                  <a:pt x="409575" y="1428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09" name="Freeform 108"/>
          <xdr:cNvSpPr/>
        </xdr:nvSpPr>
        <xdr:spPr>
          <a:xfrm flipV="1">
            <a:off x="495300" y="21336000"/>
            <a:ext cx="409575" cy="142875"/>
          </a:xfrm>
          <a:custGeom>
            <a:avLst/>
            <a:gdLst>
              <a:gd name="connsiteX0" fmla="*/ 0 w 409575"/>
              <a:gd name="connsiteY0" fmla="*/ 0 h 142875"/>
              <a:gd name="connsiteX1" fmla="*/ 0 w 409575"/>
              <a:gd name="connsiteY1" fmla="*/ 142875 h 142875"/>
              <a:gd name="connsiteX2" fmla="*/ 409575 w 409575"/>
              <a:gd name="connsiteY2" fmla="*/ 142875 h 1428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09575" h="142875">
                <a:moveTo>
                  <a:pt x="0" y="0"/>
                </a:moveTo>
                <a:lnTo>
                  <a:pt x="0" y="142875"/>
                </a:lnTo>
                <a:lnTo>
                  <a:pt x="409575" y="1428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44" name="Straight Arrow Connector 43"/>
          <xdr:cNvCxnSpPr/>
        </xdr:nvCxnSpPr>
        <xdr:spPr>
          <a:xfrm>
            <a:off x="314325" y="21259800"/>
            <a:ext cx="161925" cy="0"/>
          </a:xfrm>
          <a:prstGeom prst="straightConnector1">
            <a:avLst/>
          </a:prstGeom>
          <a:ln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38100</xdr:colOff>
      <xdr:row>131</xdr:row>
      <xdr:rowOff>57150</xdr:rowOff>
    </xdr:from>
    <xdr:to>
      <xdr:col>2</xdr:col>
      <xdr:colOff>247650</xdr:colOff>
      <xdr:row>135</xdr:row>
      <xdr:rowOff>57150</xdr:rowOff>
    </xdr:to>
    <xdr:grpSp>
      <xdr:nvGrpSpPr>
        <xdr:cNvPr id="123" name="Group 122"/>
        <xdr:cNvGrpSpPr/>
      </xdr:nvGrpSpPr>
      <xdr:grpSpPr>
        <a:xfrm>
          <a:off x="219075" y="25165050"/>
          <a:ext cx="857250" cy="762000"/>
          <a:chOff x="1657350" y="21383625"/>
          <a:chExt cx="819150" cy="762000"/>
        </a:xfrm>
      </xdr:grpSpPr>
      <xdr:grpSp>
        <xdr:nvGrpSpPr>
          <xdr:cNvPr id="112" name="Group 111"/>
          <xdr:cNvGrpSpPr/>
        </xdr:nvGrpSpPr>
        <xdr:grpSpPr>
          <a:xfrm>
            <a:off x="1933575" y="21383625"/>
            <a:ext cx="542925" cy="342900"/>
            <a:chOff x="1933575" y="21383625"/>
            <a:chExt cx="542925" cy="342900"/>
          </a:xfrm>
        </xdr:grpSpPr>
        <xdr:sp macro="" textlink="">
          <xdr:nvSpPr>
            <xdr:cNvPr id="51" name="Rounded Rectangle 50"/>
            <xdr:cNvSpPr/>
          </xdr:nvSpPr>
          <xdr:spPr>
            <a:xfrm>
              <a:off x="1981201" y="21421725"/>
              <a:ext cx="400050" cy="266700"/>
            </a:xfrm>
            <a:prstGeom prst="roundRect">
              <a:avLst>
                <a:gd name="adj" fmla="val 50000"/>
              </a:avLst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110" name="Rectangle 109"/>
            <xdr:cNvSpPr/>
          </xdr:nvSpPr>
          <xdr:spPr>
            <a:xfrm>
              <a:off x="1933575" y="21383625"/>
              <a:ext cx="542925" cy="1619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111" name="Rectangle 110"/>
            <xdr:cNvSpPr/>
          </xdr:nvSpPr>
          <xdr:spPr>
            <a:xfrm>
              <a:off x="2276476" y="21469350"/>
              <a:ext cx="180974" cy="2571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</xdr:grpSp>
      <xdr:grpSp>
        <xdr:nvGrpSpPr>
          <xdr:cNvPr id="113" name="Group 112"/>
          <xdr:cNvGrpSpPr/>
        </xdr:nvGrpSpPr>
        <xdr:grpSpPr>
          <a:xfrm flipV="1">
            <a:off x="1933575" y="21802725"/>
            <a:ext cx="542925" cy="342900"/>
            <a:chOff x="1933575" y="21383625"/>
            <a:chExt cx="542925" cy="342900"/>
          </a:xfrm>
        </xdr:grpSpPr>
        <xdr:sp macro="" textlink="">
          <xdr:nvSpPr>
            <xdr:cNvPr id="114" name="Rounded Rectangle 113"/>
            <xdr:cNvSpPr/>
          </xdr:nvSpPr>
          <xdr:spPr>
            <a:xfrm>
              <a:off x="1981201" y="21421725"/>
              <a:ext cx="400050" cy="266700"/>
            </a:xfrm>
            <a:prstGeom prst="roundRect">
              <a:avLst>
                <a:gd name="adj" fmla="val 50000"/>
              </a:avLst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115" name="Rectangle 114"/>
            <xdr:cNvSpPr/>
          </xdr:nvSpPr>
          <xdr:spPr>
            <a:xfrm>
              <a:off x="1933575" y="21383625"/>
              <a:ext cx="542925" cy="16192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116" name="Rectangle 115"/>
            <xdr:cNvSpPr/>
          </xdr:nvSpPr>
          <xdr:spPr>
            <a:xfrm>
              <a:off x="2276476" y="21469350"/>
              <a:ext cx="180974" cy="2571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</xdr:grpSp>
      <xdr:cxnSp macro="">
        <xdr:nvCxnSpPr>
          <xdr:cNvPr id="118" name="Straight Arrow Connector 117"/>
          <xdr:cNvCxnSpPr/>
        </xdr:nvCxnSpPr>
        <xdr:spPr>
          <a:xfrm flipH="1">
            <a:off x="2028825" y="21555075"/>
            <a:ext cx="114300" cy="104775"/>
          </a:xfrm>
          <a:prstGeom prst="straightConnector1">
            <a:avLst/>
          </a:prstGeom>
          <a:ln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" name="TextBox 118"/>
          <xdr:cNvSpPr txBox="1"/>
        </xdr:nvSpPr>
        <xdr:spPr>
          <a:xfrm flipH="1">
            <a:off x="2095500" y="21383625"/>
            <a:ext cx="3619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/>
              <a:t>r</a:t>
            </a:r>
            <a:endParaRPr lang="en-IN" sz="1100" baseline="-25000"/>
          </a:p>
        </xdr:txBody>
      </xdr:sp>
      <xdr:sp macro="" textlink="">
        <xdr:nvSpPr>
          <xdr:cNvPr id="120" name="TextBox 119"/>
          <xdr:cNvSpPr txBox="1"/>
        </xdr:nvSpPr>
        <xdr:spPr>
          <a:xfrm flipH="1">
            <a:off x="1657350" y="21631275"/>
            <a:ext cx="3619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baseline="0"/>
              <a:t>D</a:t>
            </a:r>
            <a:endParaRPr lang="en-IN" sz="1100" baseline="-25000"/>
          </a:p>
        </xdr:txBody>
      </xdr:sp>
      <xdr:cxnSp macro="">
        <xdr:nvCxnSpPr>
          <xdr:cNvPr id="121" name="Straight Arrow Connector 120"/>
          <xdr:cNvCxnSpPr/>
        </xdr:nvCxnSpPr>
        <xdr:spPr>
          <a:xfrm flipH="1">
            <a:off x="2162175" y="21688425"/>
            <a:ext cx="0" cy="150813"/>
          </a:xfrm>
          <a:prstGeom prst="straightConnector1">
            <a:avLst/>
          </a:prstGeom>
          <a:ln>
            <a:headEnd type="triangle" w="sm" len="sm"/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Arrow Connector 121"/>
          <xdr:cNvCxnSpPr/>
        </xdr:nvCxnSpPr>
        <xdr:spPr>
          <a:xfrm>
            <a:off x="1895475" y="21764625"/>
            <a:ext cx="161925" cy="0"/>
          </a:xfrm>
          <a:prstGeom prst="straightConnector1">
            <a:avLst/>
          </a:prstGeom>
          <a:ln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136</xdr:row>
      <xdr:rowOff>123825</xdr:rowOff>
    </xdr:from>
    <xdr:to>
      <xdr:col>2</xdr:col>
      <xdr:colOff>76200</xdr:colOff>
      <xdr:row>138</xdr:row>
      <xdr:rowOff>180975</xdr:rowOff>
    </xdr:to>
    <xdr:grpSp>
      <xdr:nvGrpSpPr>
        <xdr:cNvPr id="132" name="Group 131"/>
        <xdr:cNvGrpSpPr/>
      </xdr:nvGrpSpPr>
      <xdr:grpSpPr>
        <a:xfrm>
          <a:off x="266700" y="26184225"/>
          <a:ext cx="638175" cy="438150"/>
          <a:chOff x="266700" y="22812375"/>
          <a:chExt cx="600075" cy="438150"/>
        </a:xfrm>
      </xdr:grpSpPr>
      <xdr:cxnSp macro="">
        <xdr:nvCxnSpPr>
          <xdr:cNvPr id="125" name="Straight Connector 124"/>
          <xdr:cNvCxnSpPr/>
        </xdr:nvCxnSpPr>
        <xdr:spPr>
          <a:xfrm>
            <a:off x="466725" y="22964775"/>
            <a:ext cx="400050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" name="Straight Connector 126"/>
          <xdr:cNvCxnSpPr/>
        </xdr:nvCxnSpPr>
        <xdr:spPr>
          <a:xfrm>
            <a:off x="466725" y="23098125"/>
            <a:ext cx="400050" cy="0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9" name="Straight Connector 128"/>
          <xdr:cNvCxnSpPr/>
        </xdr:nvCxnSpPr>
        <xdr:spPr>
          <a:xfrm>
            <a:off x="695325" y="22812375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/>
          <xdr:cNvCxnSpPr/>
        </xdr:nvCxnSpPr>
        <xdr:spPr>
          <a:xfrm>
            <a:off x="685800" y="23107650"/>
            <a:ext cx="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/>
          <xdr:cNvCxnSpPr/>
        </xdr:nvCxnSpPr>
        <xdr:spPr>
          <a:xfrm>
            <a:off x="266700" y="23031450"/>
            <a:ext cx="161925" cy="0"/>
          </a:xfrm>
          <a:prstGeom prst="straightConnector1">
            <a:avLst/>
          </a:prstGeom>
          <a:ln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104775</xdr:colOff>
      <xdr:row>140</xdr:row>
      <xdr:rowOff>104775</xdr:rowOff>
    </xdr:from>
    <xdr:to>
      <xdr:col>2</xdr:col>
      <xdr:colOff>28575</xdr:colOff>
      <xdr:row>143</xdr:row>
      <xdr:rowOff>85725</xdr:rowOff>
    </xdr:to>
    <xdr:grpSp>
      <xdr:nvGrpSpPr>
        <xdr:cNvPr id="136" name="Group 135"/>
        <xdr:cNvGrpSpPr/>
      </xdr:nvGrpSpPr>
      <xdr:grpSpPr>
        <a:xfrm>
          <a:off x="285750" y="26927175"/>
          <a:ext cx="571500" cy="552450"/>
          <a:chOff x="285750" y="23555325"/>
          <a:chExt cx="533400" cy="552450"/>
        </a:xfrm>
      </xdr:grpSpPr>
      <xdr:sp macro="" textlink="">
        <xdr:nvSpPr>
          <xdr:cNvPr id="133" name="Freeform 132"/>
          <xdr:cNvSpPr/>
        </xdr:nvSpPr>
        <xdr:spPr>
          <a:xfrm>
            <a:off x="485775" y="23555325"/>
            <a:ext cx="333375" cy="209550"/>
          </a:xfrm>
          <a:custGeom>
            <a:avLst/>
            <a:gdLst>
              <a:gd name="connsiteX0" fmla="*/ 0 w 333375"/>
              <a:gd name="connsiteY0" fmla="*/ 0 h 209550"/>
              <a:gd name="connsiteX1" fmla="*/ 0 w 333375"/>
              <a:gd name="connsiteY1" fmla="*/ 133350 h 209550"/>
              <a:gd name="connsiteX2" fmla="*/ 123825 w 333375"/>
              <a:gd name="connsiteY2" fmla="*/ 209550 h 209550"/>
              <a:gd name="connsiteX3" fmla="*/ 333375 w 333375"/>
              <a:gd name="connsiteY3" fmla="*/ 209550 h 20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3375" h="209550">
                <a:moveTo>
                  <a:pt x="0" y="0"/>
                </a:moveTo>
                <a:lnTo>
                  <a:pt x="0" y="133350"/>
                </a:lnTo>
                <a:lnTo>
                  <a:pt x="123825" y="209550"/>
                </a:lnTo>
                <a:lnTo>
                  <a:pt x="333375" y="2095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34" name="Freeform 133"/>
          <xdr:cNvSpPr/>
        </xdr:nvSpPr>
        <xdr:spPr>
          <a:xfrm flipV="1">
            <a:off x="485775" y="23898225"/>
            <a:ext cx="333375" cy="209550"/>
          </a:xfrm>
          <a:custGeom>
            <a:avLst/>
            <a:gdLst>
              <a:gd name="connsiteX0" fmla="*/ 0 w 333375"/>
              <a:gd name="connsiteY0" fmla="*/ 0 h 209550"/>
              <a:gd name="connsiteX1" fmla="*/ 0 w 333375"/>
              <a:gd name="connsiteY1" fmla="*/ 133350 h 209550"/>
              <a:gd name="connsiteX2" fmla="*/ 123825 w 333375"/>
              <a:gd name="connsiteY2" fmla="*/ 209550 h 209550"/>
              <a:gd name="connsiteX3" fmla="*/ 333375 w 333375"/>
              <a:gd name="connsiteY3" fmla="*/ 209550 h 20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3375" h="209550">
                <a:moveTo>
                  <a:pt x="0" y="0"/>
                </a:moveTo>
                <a:lnTo>
                  <a:pt x="0" y="133350"/>
                </a:lnTo>
                <a:lnTo>
                  <a:pt x="123825" y="209550"/>
                </a:lnTo>
                <a:lnTo>
                  <a:pt x="333375" y="2095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cxnSp macro="">
        <xdr:nvCxnSpPr>
          <xdr:cNvPr id="135" name="Straight Arrow Connector 134"/>
          <xdr:cNvCxnSpPr/>
        </xdr:nvCxnSpPr>
        <xdr:spPr>
          <a:xfrm>
            <a:off x="285750" y="23831550"/>
            <a:ext cx="161925" cy="0"/>
          </a:xfrm>
          <a:prstGeom prst="straightConnector1">
            <a:avLst/>
          </a:prstGeom>
          <a:ln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7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2.7109375" style="47" customWidth="1"/>
    <col min="2" max="2" width="9.7109375" customWidth="1"/>
    <col min="5" max="5" width="9.85546875" customWidth="1"/>
    <col min="6" max="6" width="9.5703125" bestFit="1" customWidth="1"/>
  </cols>
  <sheetData>
    <row r="1" spans="1:12" x14ac:dyDescent="0.25">
      <c r="B1" s="1"/>
      <c r="C1" s="1"/>
      <c r="D1" s="1"/>
      <c r="E1" s="1"/>
      <c r="F1" s="1"/>
      <c r="G1" s="1"/>
      <c r="H1" s="1"/>
      <c r="I1" s="1"/>
    </row>
    <row r="2" spans="1:12" ht="18.75" x14ac:dyDescent="0.25"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2"/>
    </row>
    <row r="3" spans="1:12" ht="18.75" x14ac:dyDescent="0.25">
      <c r="B3" s="3"/>
      <c r="C3" s="110"/>
      <c r="D3" s="110"/>
      <c r="E3" s="110"/>
      <c r="F3" s="110"/>
      <c r="G3" s="110"/>
      <c r="H3" s="110"/>
      <c r="I3" s="110"/>
      <c r="J3" s="3"/>
      <c r="K3" s="2"/>
    </row>
    <row r="4" spans="1:12" x14ac:dyDescent="0.25">
      <c r="B4" s="111" t="s">
        <v>145</v>
      </c>
      <c r="C4" s="4"/>
      <c r="D4" s="4"/>
      <c r="E4" s="4"/>
      <c r="F4" s="4"/>
      <c r="H4" s="5" t="s">
        <v>0</v>
      </c>
      <c r="J4" s="6" t="s">
        <v>1</v>
      </c>
      <c r="K4" s="7"/>
    </row>
    <row r="5" spans="1:12" x14ac:dyDescent="0.25">
      <c r="B5" s="8" t="s">
        <v>144</v>
      </c>
      <c r="C5" s="4"/>
      <c r="D5" s="4"/>
      <c r="E5" s="4"/>
      <c r="F5" s="4"/>
      <c r="H5" s="5" t="s">
        <v>2</v>
      </c>
      <c r="J5" s="6" t="s">
        <v>3</v>
      </c>
      <c r="K5" s="7"/>
    </row>
    <row r="6" spans="1:12" x14ac:dyDescent="0.25">
      <c r="B6" s="4"/>
      <c r="C6" s="4"/>
      <c r="D6" s="4"/>
      <c r="E6" s="4"/>
      <c r="F6" s="4"/>
      <c r="H6" s="5" t="s">
        <v>4</v>
      </c>
      <c r="J6" s="9" t="s">
        <v>147</v>
      </c>
      <c r="K6" s="10"/>
    </row>
    <row r="7" spans="1:12" ht="15" customHeight="1" x14ac:dyDescent="0.25">
      <c r="B7" s="107" t="s">
        <v>5</v>
      </c>
      <c r="C7" s="11"/>
      <c r="D7" s="12"/>
      <c r="E7" s="13"/>
      <c r="F7" s="13"/>
      <c r="H7" s="5" t="s">
        <v>6</v>
      </c>
      <c r="J7" s="14" t="s">
        <v>146</v>
      </c>
      <c r="K7" s="15"/>
    </row>
    <row r="9" spans="1:12" x14ac:dyDescent="0.25">
      <c r="B9" s="20" t="s">
        <v>12</v>
      </c>
      <c r="F9" s="21" t="s">
        <v>13</v>
      </c>
      <c r="G9" s="22"/>
      <c r="H9" s="22"/>
      <c r="I9" s="21" t="s">
        <v>14</v>
      </c>
    </row>
    <row r="10" spans="1:12" x14ac:dyDescent="0.25">
      <c r="B10" t="s">
        <v>10</v>
      </c>
      <c r="F10" s="39"/>
      <c r="G10" s="23"/>
      <c r="I10" s="26">
        <v>3</v>
      </c>
      <c r="J10" s="23" t="s">
        <v>16</v>
      </c>
    </row>
    <row r="11" spans="1:12" x14ac:dyDescent="0.25">
      <c r="B11" t="s">
        <v>18</v>
      </c>
      <c r="F11" s="28"/>
      <c r="G11" s="32" t="str">
        <f>IF(D189=0,"Pipe not Found !!","")</f>
        <v/>
      </c>
      <c r="H11" s="31"/>
      <c r="I11" s="26">
        <v>40</v>
      </c>
      <c r="L11" s="30"/>
    </row>
    <row r="12" spans="1:12" x14ac:dyDescent="0.25">
      <c r="B12" t="s">
        <v>17</v>
      </c>
      <c r="F12" s="40">
        <f>25.4*I12</f>
        <v>4.5719999999999997E-2</v>
      </c>
      <c r="G12" s="23" t="s">
        <v>15</v>
      </c>
      <c r="H12" s="30"/>
      <c r="I12" s="25">
        <v>1.8E-3</v>
      </c>
      <c r="J12" s="23" t="s">
        <v>16</v>
      </c>
      <c r="L12" s="30"/>
    </row>
    <row r="13" spans="1:12" x14ac:dyDescent="0.25">
      <c r="F13" s="28"/>
      <c r="G13" s="38"/>
      <c r="H13" s="30"/>
      <c r="I13" s="28"/>
      <c r="L13" s="30"/>
    </row>
    <row r="14" spans="1:12" x14ac:dyDescent="0.25">
      <c r="B14" t="s">
        <v>22</v>
      </c>
      <c r="F14" s="27">
        <f>I14*25.4</f>
        <v>77.927199999999999</v>
      </c>
      <c r="G14" s="23" t="s">
        <v>15</v>
      </c>
      <c r="I14" s="24">
        <f>IF(D189=0,I10,D189)</f>
        <v>3.0680000000000001</v>
      </c>
      <c r="J14" s="23" t="s">
        <v>16</v>
      </c>
    </row>
    <row r="15" spans="1:12" s="30" customFormat="1" x14ac:dyDescent="0.25">
      <c r="A15" s="48"/>
      <c r="B15" s="30" t="s">
        <v>23</v>
      </c>
      <c r="F15" s="41">
        <v>100</v>
      </c>
      <c r="G15" s="29" t="s">
        <v>24</v>
      </c>
      <c r="I15" s="27">
        <f>F15/0.3048</f>
        <v>328.08398950131232</v>
      </c>
      <c r="J15" s="23" t="s">
        <v>25</v>
      </c>
    </row>
    <row r="16" spans="1:12" s="30" customFormat="1" x14ac:dyDescent="0.25">
      <c r="A16" s="48"/>
      <c r="B16" s="30" t="s">
        <v>96</v>
      </c>
      <c r="F16" s="41">
        <v>10</v>
      </c>
      <c r="G16" s="29" t="s">
        <v>24</v>
      </c>
      <c r="I16" s="27">
        <f>F16/0.3048</f>
        <v>32.808398950131235</v>
      </c>
      <c r="J16" s="23" t="s">
        <v>25</v>
      </c>
    </row>
    <row r="17" spans="1:10" s="30" customFormat="1" x14ac:dyDescent="0.25">
      <c r="A17" s="48"/>
      <c r="F17" s="33"/>
      <c r="G17" s="34"/>
      <c r="H17" s="35"/>
      <c r="I17" s="35"/>
    </row>
    <row r="18" spans="1:10" s="30" customFormat="1" x14ac:dyDescent="0.25">
      <c r="A18" s="48"/>
      <c r="B18" s="20" t="s">
        <v>26</v>
      </c>
      <c r="F18" s="36"/>
      <c r="G18" s="34"/>
      <c r="H18" s="35"/>
      <c r="I18" s="35"/>
    </row>
    <row r="19" spans="1:10" ht="17.25" x14ac:dyDescent="0.25">
      <c r="B19" s="30" t="s">
        <v>27</v>
      </c>
      <c r="F19" s="42">
        <v>30</v>
      </c>
      <c r="G19" s="23" t="s">
        <v>30</v>
      </c>
      <c r="H19" s="37"/>
      <c r="I19" s="27">
        <f>F19/0.3048^3/60</f>
        <v>17.657333360744293</v>
      </c>
      <c r="J19" s="23" t="s">
        <v>35</v>
      </c>
    </row>
    <row r="20" spans="1:10" ht="17.25" x14ac:dyDescent="0.25">
      <c r="B20" s="30" t="s">
        <v>28</v>
      </c>
      <c r="F20" s="43">
        <v>1000</v>
      </c>
      <c r="G20" s="23" t="s">
        <v>31</v>
      </c>
      <c r="H20" s="37"/>
      <c r="I20" s="24">
        <f>F20/16.018463</f>
        <v>62.427962033560895</v>
      </c>
      <c r="J20" s="45" t="s">
        <v>33</v>
      </c>
    </row>
    <row r="21" spans="1:10" x14ac:dyDescent="0.25">
      <c r="B21" s="30" t="s">
        <v>29</v>
      </c>
      <c r="F21" s="44">
        <v>1</v>
      </c>
      <c r="G21" s="23" t="s">
        <v>32</v>
      </c>
      <c r="I21" s="46">
        <f>F21/1488.1639</f>
        <v>6.7196899481300411E-4</v>
      </c>
      <c r="J21" s="45" t="s">
        <v>34</v>
      </c>
    </row>
    <row r="23" spans="1:10" x14ac:dyDescent="0.25">
      <c r="B23" s="20" t="s">
        <v>97</v>
      </c>
    </row>
    <row r="24" spans="1:10" ht="15" customHeight="1" x14ac:dyDescent="0.25">
      <c r="B24" t="s">
        <v>101</v>
      </c>
      <c r="F24" s="27">
        <f>(F19/3600)/(PI()*(F14/1000)^2/4)</f>
        <v>1.7472326184759823</v>
      </c>
      <c r="G24" s="45" t="s">
        <v>98</v>
      </c>
      <c r="H24" s="52"/>
      <c r="I24" s="27">
        <f>F24/0.3048</f>
        <v>5.7323904805642458</v>
      </c>
      <c r="J24" s="45" t="s">
        <v>99</v>
      </c>
    </row>
    <row r="25" spans="1:10" x14ac:dyDescent="0.25">
      <c r="B25" t="s">
        <v>100</v>
      </c>
      <c r="F25" s="51">
        <f>(F14/1000)*F24*F20/(F21/1000)</f>
        <v>136156.94570650157</v>
      </c>
      <c r="G25" s="45"/>
    </row>
    <row r="26" spans="1:10" x14ac:dyDescent="0.25">
      <c r="B26" t="s">
        <v>113</v>
      </c>
      <c r="F26" s="40">
        <f>F154</f>
        <v>1.9960524072934579E-2</v>
      </c>
    </row>
    <row r="27" spans="1:10" x14ac:dyDescent="0.25">
      <c r="B27" t="s">
        <v>131</v>
      </c>
      <c r="F27" s="27">
        <f>K149</f>
        <v>228.67060523632668</v>
      </c>
    </row>
    <row r="28" spans="1:10" x14ac:dyDescent="0.25">
      <c r="F28" s="104"/>
    </row>
    <row r="29" spans="1:10" x14ac:dyDescent="0.25">
      <c r="B29" s="20" t="s">
        <v>132</v>
      </c>
      <c r="F29" s="104"/>
    </row>
    <row r="30" spans="1:10" x14ac:dyDescent="0.25">
      <c r="B30" t="s">
        <v>133</v>
      </c>
      <c r="F30" s="27">
        <f>F27*F24^2/(2*9.81)</f>
        <v>35.580561363877088</v>
      </c>
      <c r="G30" s="23" t="s">
        <v>24</v>
      </c>
      <c r="I30" s="27">
        <f>F30/0.3048</f>
        <v>116.73412520957049</v>
      </c>
      <c r="J30" s="23" t="s">
        <v>25</v>
      </c>
    </row>
    <row r="31" spans="1:10" x14ac:dyDescent="0.25">
      <c r="B31" t="s">
        <v>134</v>
      </c>
      <c r="F31" s="27">
        <f>F26*(F15/(F14/1000))*F24^2/(2*9.81)</f>
        <v>3.9855230239837356</v>
      </c>
      <c r="G31" s="23" t="s">
        <v>24</v>
      </c>
      <c r="I31" s="27">
        <f>F31/0.3048</f>
        <v>13.075862939579185</v>
      </c>
      <c r="J31" s="23" t="s">
        <v>25</v>
      </c>
    </row>
    <row r="32" spans="1:10" x14ac:dyDescent="0.25">
      <c r="B32" t="s">
        <v>135</v>
      </c>
      <c r="F32" s="27">
        <f>F16</f>
        <v>10</v>
      </c>
      <c r="G32" s="23" t="s">
        <v>24</v>
      </c>
      <c r="I32" s="27">
        <f>F32/0.3048</f>
        <v>32.808398950131235</v>
      </c>
      <c r="J32" s="23" t="s">
        <v>25</v>
      </c>
    </row>
    <row r="33" spans="1:11" x14ac:dyDescent="0.25">
      <c r="B33" s="20"/>
    </row>
    <row r="34" spans="1:11" x14ac:dyDescent="0.25">
      <c r="B34" s="20" t="s">
        <v>138</v>
      </c>
    </row>
    <row r="35" spans="1:11" x14ac:dyDescent="0.25">
      <c r="B35" s="105" t="s">
        <v>139</v>
      </c>
      <c r="F35" s="27">
        <f>SUM(F30:F32)</f>
        <v>49.566084387860826</v>
      </c>
      <c r="G35" s="29" t="s">
        <v>24</v>
      </c>
      <c r="I35" s="27">
        <f>F35/0.3048</f>
        <v>162.61838709928091</v>
      </c>
      <c r="J35" s="23" t="s">
        <v>25</v>
      </c>
    </row>
    <row r="36" spans="1:11" x14ac:dyDescent="0.25">
      <c r="B36" s="105" t="s">
        <v>136</v>
      </c>
      <c r="F36" s="108">
        <f>F35*F20*9.81/100000</f>
        <v>4.8624328784491473</v>
      </c>
      <c r="G36" s="29" t="s">
        <v>140</v>
      </c>
      <c r="I36" s="27">
        <f>F36*14.503774</f>
        <v>70.523627559195901</v>
      </c>
      <c r="J36" s="23" t="s">
        <v>137</v>
      </c>
    </row>
    <row r="38" spans="1:11" x14ac:dyDescent="0.25">
      <c r="A38" s="72"/>
      <c r="B38" s="93" t="s">
        <v>36</v>
      </c>
      <c r="C38" s="69"/>
      <c r="D38" s="69"/>
      <c r="E38" s="69"/>
      <c r="F38" s="91"/>
      <c r="G38" s="92"/>
      <c r="H38" s="92"/>
      <c r="I38" s="92"/>
      <c r="J38" s="92"/>
      <c r="K38" s="92"/>
    </row>
    <row r="39" spans="1:11" x14ac:dyDescent="0.25">
      <c r="A39" s="59"/>
      <c r="B39" s="74" t="s">
        <v>37</v>
      </c>
      <c r="C39" s="61"/>
      <c r="D39" s="61"/>
      <c r="E39" s="61"/>
      <c r="F39" s="77" t="s">
        <v>116</v>
      </c>
      <c r="G39" s="78" t="s">
        <v>117</v>
      </c>
      <c r="H39" s="78" t="s">
        <v>141</v>
      </c>
      <c r="I39" s="78" t="s">
        <v>118</v>
      </c>
      <c r="J39" s="78" t="s">
        <v>119</v>
      </c>
      <c r="K39" s="78"/>
    </row>
    <row r="40" spans="1:11" x14ac:dyDescent="0.25">
      <c r="A40" s="65"/>
      <c r="B40" s="67" t="s">
        <v>38</v>
      </c>
      <c r="C40" s="37"/>
      <c r="D40" s="37"/>
      <c r="E40" s="37"/>
      <c r="F40" s="58"/>
      <c r="G40" s="81">
        <v>800</v>
      </c>
      <c r="H40" s="82">
        <v>0.14000000000000001</v>
      </c>
      <c r="I40" s="83">
        <v>4</v>
      </c>
      <c r="J40" s="84" t="s">
        <v>121</v>
      </c>
      <c r="K40" s="85">
        <f>(G40/$F$25+H40*(1+I40/$I$10^0.3))*F40</f>
        <v>0</v>
      </c>
    </row>
    <row r="41" spans="1:11" x14ac:dyDescent="0.25">
      <c r="A41" s="65"/>
      <c r="B41" s="67" t="s">
        <v>39</v>
      </c>
      <c r="C41" s="37"/>
      <c r="D41" s="37"/>
      <c r="E41" s="37"/>
      <c r="F41" s="58">
        <v>1</v>
      </c>
      <c r="G41" s="81">
        <v>800</v>
      </c>
      <c r="H41" s="82">
        <v>7.0999999999999994E-2</v>
      </c>
      <c r="I41" s="83">
        <v>4.2</v>
      </c>
      <c r="J41" s="84" t="s">
        <v>121</v>
      </c>
      <c r="K41" s="85">
        <f t="shared" ref="K41:K48" si="0">(G41/$F$25+H41*(1+I41/$I$10^0.3))*F41</f>
        <v>0.29134789888631024</v>
      </c>
    </row>
    <row r="42" spans="1:11" x14ac:dyDescent="0.25">
      <c r="A42" s="65"/>
      <c r="B42" s="67" t="s">
        <v>40</v>
      </c>
      <c r="C42" s="37"/>
      <c r="D42" s="37"/>
      <c r="E42" s="37"/>
      <c r="F42" s="58"/>
      <c r="G42" s="81">
        <v>800</v>
      </c>
      <c r="H42" s="82">
        <v>9.0999999999999998E-2</v>
      </c>
      <c r="I42" s="83">
        <v>4</v>
      </c>
      <c r="J42" s="84" t="s">
        <v>121</v>
      </c>
      <c r="K42" s="85">
        <f t="shared" si="0"/>
        <v>0</v>
      </c>
    </row>
    <row r="43" spans="1:11" x14ac:dyDescent="0.25">
      <c r="A43" s="65"/>
      <c r="B43" s="67" t="s">
        <v>41</v>
      </c>
      <c r="C43" s="37"/>
      <c r="D43" s="37"/>
      <c r="E43" s="37"/>
      <c r="F43" s="58"/>
      <c r="G43" s="81">
        <v>800</v>
      </c>
      <c r="H43" s="82">
        <v>5.6000000000000001E-2</v>
      </c>
      <c r="I43" s="83">
        <v>3.9</v>
      </c>
      <c r="J43" s="84" t="s">
        <v>121</v>
      </c>
      <c r="K43" s="85">
        <f t="shared" si="0"/>
        <v>0</v>
      </c>
    </row>
    <row r="44" spans="1:11" x14ac:dyDescent="0.25">
      <c r="A44" s="65"/>
      <c r="B44" s="67" t="s">
        <v>42</v>
      </c>
      <c r="C44" s="37"/>
      <c r="D44" s="37"/>
      <c r="E44" s="37"/>
      <c r="F44" s="58"/>
      <c r="G44" s="81">
        <v>800</v>
      </c>
      <c r="H44" s="82">
        <v>6.6000000000000003E-2</v>
      </c>
      <c r="I44" s="83">
        <v>3.9</v>
      </c>
      <c r="J44" s="84" t="s">
        <v>121</v>
      </c>
      <c r="K44" s="85">
        <f t="shared" si="0"/>
        <v>0</v>
      </c>
    </row>
    <row r="45" spans="1:11" x14ac:dyDescent="0.25">
      <c r="A45" s="65"/>
      <c r="B45" s="67" t="s">
        <v>43</v>
      </c>
      <c r="C45" s="37"/>
      <c r="D45" s="37"/>
      <c r="E45" s="37"/>
      <c r="F45" s="58"/>
      <c r="G45" s="81">
        <v>800</v>
      </c>
      <c r="H45" s="82">
        <v>7.4999999999999997E-2</v>
      </c>
      <c r="I45" s="83">
        <v>4.2</v>
      </c>
      <c r="J45" s="84" t="s">
        <v>121</v>
      </c>
      <c r="K45" s="85">
        <f t="shared" si="0"/>
        <v>0</v>
      </c>
    </row>
    <row r="46" spans="1:11" x14ac:dyDescent="0.25">
      <c r="A46" s="65"/>
      <c r="B46" s="67" t="s">
        <v>44</v>
      </c>
      <c r="C46" s="37"/>
      <c r="D46" s="37"/>
      <c r="E46" s="37"/>
      <c r="F46" s="58"/>
      <c r="G46" s="81">
        <v>1000</v>
      </c>
      <c r="H46" s="82">
        <v>0.27</v>
      </c>
      <c r="I46" s="83">
        <v>4</v>
      </c>
      <c r="J46" s="84" t="s">
        <v>121</v>
      </c>
      <c r="K46" s="85">
        <f t="shared" si="0"/>
        <v>0</v>
      </c>
    </row>
    <row r="47" spans="1:11" x14ac:dyDescent="0.25">
      <c r="A47" s="65"/>
      <c r="B47" s="67" t="s">
        <v>45</v>
      </c>
      <c r="C47" s="37"/>
      <c r="D47" s="37"/>
      <c r="E47" s="37"/>
      <c r="F47" s="58"/>
      <c r="G47" s="81">
        <v>800</v>
      </c>
      <c r="H47" s="82">
        <v>6.8000000000000005E-2</v>
      </c>
      <c r="I47" s="83">
        <v>4.0999999999999996</v>
      </c>
      <c r="J47" s="84" t="s">
        <v>121</v>
      </c>
      <c r="K47" s="85">
        <f t="shared" si="0"/>
        <v>0</v>
      </c>
    </row>
    <row r="48" spans="1:11" x14ac:dyDescent="0.25">
      <c r="A48" s="65"/>
      <c r="B48" s="67" t="s">
        <v>46</v>
      </c>
      <c r="C48" s="37"/>
      <c r="D48" s="37"/>
      <c r="E48" s="37"/>
      <c r="F48" s="58"/>
      <c r="G48" s="81">
        <v>800</v>
      </c>
      <c r="H48" s="82">
        <v>3.5000000000000003E-2</v>
      </c>
      <c r="I48" s="83">
        <v>4.2</v>
      </c>
      <c r="J48" s="84" t="s">
        <v>121</v>
      </c>
      <c r="K48" s="85">
        <f t="shared" si="0"/>
        <v>0</v>
      </c>
    </row>
    <row r="49" spans="1:11" x14ac:dyDescent="0.25">
      <c r="A49" s="65"/>
      <c r="B49" s="67" t="s">
        <v>47</v>
      </c>
      <c r="C49" s="37"/>
      <c r="D49" s="37"/>
      <c r="E49" s="37"/>
      <c r="F49" s="58"/>
      <c r="G49" s="81">
        <v>800</v>
      </c>
      <c r="H49" s="82">
        <v>0.27</v>
      </c>
      <c r="I49" s="83"/>
      <c r="J49" s="84" t="s">
        <v>122</v>
      </c>
      <c r="K49" s="85">
        <f>(G49/$F$25+H49*(1+1/$I$14))*F49</f>
        <v>0</v>
      </c>
    </row>
    <row r="50" spans="1:11" x14ac:dyDescent="0.25">
      <c r="A50" s="68"/>
      <c r="B50" s="76" t="s">
        <v>48</v>
      </c>
      <c r="C50" s="69"/>
      <c r="D50" s="69"/>
      <c r="E50" s="69"/>
      <c r="F50" s="71"/>
      <c r="G50" s="69">
        <v>800</v>
      </c>
      <c r="H50" s="79">
        <v>0.25</v>
      </c>
      <c r="I50" s="75"/>
      <c r="J50" s="80" t="s">
        <v>122</v>
      </c>
      <c r="K50" s="73">
        <f>(G50/$F$25+H50*(1+1/$I$14))*F50</f>
        <v>0</v>
      </c>
    </row>
    <row r="52" spans="1:11" x14ac:dyDescent="0.25">
      <c r="A52" s="59"/>
      <c r="B52" s="74" t="s">
        <v>49</v>
      </c>
      <c r="C52" s="61"/>
      <c r="D52" s="61"/>
      <c r="E52" s="61"/>
      <c r="F52" s="77" t="s">
        <v>116</v>
      </c>
      <c r="G52" s="78" t="s">
        <v>117</v>
      </c>
      <c r="H52" s="78" t="s">
        <v>141</v>
      </c>
      <c r="I52" s="78" t="s">
        <v>118</v>
      </c>
      <c r="J52" s="78" t="s">
        <v>119</v>
      </c>
      <c r="K52" s="78"/>
    </row>
    <row r="53" spans="1:11" x14ac:dyDescent="0.25">
      <c r="A53" s="65"/>
      <c r="B53" s="37" t="s">
        <v>50</v>
      </c>
      <c r="C53" s="37"/>
      <c r="D53" s="37"/>
      <c r="E53" s="37"/>
      <c r="F53" s="58"/>
      <c r="G53" s="81">
        <v>500</v>
      </c>
      <c r="H53" s="82">
        <v>7.0999999999999994E-2</v>
      </c>
      <c r="I53" s="86">
        <v>4.2</v>
      </c>
      <c r="J53" s="84" t="s">
        <v>121</v>
      </c>
      <c r="K53" s="85">
        <f t="shared" ref="K53:K56" si="1">(G53/$F$25+H53*(1+I53/$I$10^0.3))*F53</f>
        <v>0</v>
      </c>
    </row>
    <row r="54" spans="1:11" x14ac:dyDescent="0.25">
      <c r="A54" s="65"/>
      <c r="B54" s="37" t="s">
        <v>51</v>
      </c>
      <c r="C54" s="37"/>
      <c r="D54" s="37"/>
      <c r="E54" s="37"/>
      <c r="F54" s="58"/>
      <c r="G54" s="81">
        <v>500</v>
      </c>
      <c r="H54" s="82">
        <v>5.1999999999999998E-2</v>
      </c>
      <c r="I54" s="83">
        <v>4</v>
      </c>
      <c r="J54" s="84" t="s">
        <v>121</v>
      </c>
      <c r="K54" s="85">
        <f t="shared" si="1"/>
        <v>0</v>
      </c>
    </row>
    <row r="55" spans="1:11" x14ac:dyDescent="0.25">
      <c r="A55" s="65"/>
      <c r="B55" s="67" t="s">
        <v>52</v>
      </c>
      <c r="C55" s="37"/>
      <c r="D55" s="37"/>
      <c r="E55" s="37"/>
      <c r="F55" s="58"/>
      <c r="G55" s="81">
        <v>500</v>
      </c>
      <c r="H55" s="82">
        <v>8.5999999999999993E-2</v>
      </c>
      <c r="I55" s="83">
        <v>4</v>
      </c>
      <c r="J55" s="84" t="s">
        <v>121</v>
      </c>
      <c r="K55" s="85">
        <f t="shared" si="1"/>
        <v>0</v>
      </c>
    </row>
    <row r="56" spans="1:11" x14ac:dyDescent="0.25">
      <c r="A56" s="68"/>
      <c r="B56" s="76" t="s">
        <v>53</v>
      </c>
      <c r="C56" s="69"/>
      <c r="D56" s="69"/>
      <c r="E56" s="69"/>
      <c r="F56" s="71"/>
      <c r="G56" s="69">
        <v>500</v>
      </c>
      <c r="H56" s="79">
        <v>5.1999999999999998E-2</v>
      </c>
      <c r="I56" s="75">
        <v>4</v>
      </c>
      <c r="J56" s="80" t="s">
        <v>121</v>
      </c>
      <c r="K56" s="73">
        <f t="shared" si="1"/>
        <v>0</v>
      </c>
    </row>
    <row r="58" spans="1:11" x14ac:dyDescent="0.25">
      <c r="A58" s="59"/>
      <c r="B58" s="74" t="s">
        <v>54</v>
      </c>
      <c r="C58" s="61"/>
      <c r="D58" s="61"/>
      <c r="E58" s="61"/>
      <c r="F58" s="77" t="s">
        <v>116</v>
      </c>
      <c r="G58" s="78" t="s">
        <v>117</v>
      </c>
      <c r="H58" s="78" t="s">
        <v>141</v>
      </c>
      <c r="I58" s="78" t="s">
        <v>118</v>
      </c>
      <c r="J58" s="78" t="s">
        <v>119</v>
      </c>
      <c r="K58" s="78"/>
    </row>
    <row r="59" spans="1:11" x14ac:dyDescent="0.25">
      <c r="A59" s="65"/>
      <c r="B59" s="37" t="s">
        <v>38</v>
      </c>
      <c r="C59" s="37"/>
      <c r="D59" s="37"/>
      <c r="E59" s="37"/>
      <c r="F59" s="58"/>
      <c r="G59" s="81">
        <v>1000</v>
      </c>
      <c r="H59" s="82">
        <v>0.23</v>
      </c>
      <c r="I59" s="83">
        <v>4</v>
      </c>
      <c r="J59" s="84" t="s">
        <v>121</v>
      </c>
      <c r="K59" s="85">
        <f t="shared" ref="K59:K61" si="2">(G59/$F$25+H59*(1+I59/$I$10^0.3))*F59</f>
        <v>0</v>
      </c>
    </row>
    <row r="60" spans="1:11" x14ac:dyDescent="0.25">
      <c r="A60" s="65"/>
      <c r="B60" s="37" t="s">
        <v>55</v>
      </c>
      <c r="C60" s="37"/>
      <c r="D60" s="37"/>
      <c r="E60" s="37"/>
      <c r="F60" s="58">
        <v>1</v>
      </c>
      <c r="G60" s="81">
        <v>1000</v>
      </c>
      <c r="H60" s="82">
        <v>0.12</v>
      </c>
      <c r="I60" s="83">
        <v>4</v>
      </c>
      <c r="J60" s="84" t="s">
        <v>121</v>
      </c>
      <c r="K60" s="85">
        <f t="shared" si="2"/>
        <v>0.47257155036697962</v>
      </c>
    </row>
    <row r="61" spans="1:11" x14ac:dyDescent="0.25">
      <c r="A61" s="68"/>
      <c r="B61" s="69" t="s">
        <v>51</v>
      </c>
      <c r="C61" s="69"/>
      <c r="D61" s="69"/>
      <c r="E61" s="69"/>
      <c r="F61" s="71"/>
      <c r="G61" s="69">
        <v>1000</v>
      </c>
      <c r="H61" s="89">
        <v>0.1</v>
      </c>
      <c r="I61" s="75">
        <v>4</v>
      </c>
      <c r="J61" s="80" t="s">
        <v>121</v>
      </c>
      <c r="K61" s="73">
        <f t="shared" si="2"/>
        <v>0</v>
      </c>
    </row>
    <row r="63" spans="1:11" x14ac:dyDescent="0.25">
      <c r="A63" s="59"/>
      <c r="B63" s="60" t="s">
        <v>56</v>
      </c>
      <c r="C63" s="61"/>
      <c r="D63" s="61"/>
      <c r="E63" s="61"/>
      <c r="F63" s="77" t="s">
        <v>116</v>
      </c>
      <c r="G63" s="78" t="s">
        <v>117</v>
      </c>
      <c r="H63" s="78" t="s">
        <v>141</v>
      </c>
      <c r="I63" s="78" t="s">
        <v>118</v>
      </c>
      <c r="J63" s="78" t="s">
        <v>119</v>
      </c>
      <c r="K63" s="78"/>
    </row>
    <row r="64" spans="1:11" x14ac:dyDescent="0.25">
      <c r="A64" s="65"/>
      <c r="B64" s="37" t="s">
        <v>58</v>
      </c>
      <c r="C64" s="37"/>
      <c r="D64" s="37"/>
      <c r="E64" s="37"/>
      <c r="F64" s="58"/>
      <c r="G64" s="81">
        <v>500</v>
      </c>
      <c r="H64" s="82">
        <v>0.27400000000000002</v>
      </c>
      <c r="I64" s="83">
        <v>4</v>
      </c>
      <c r="J64" s="84" t="s">
        <v>121</v>
      </c>
      <c r="K64" s="85">
        <f t="shared" ref="K64:K70" si="3">(G64/$F$25+H64*(1+I64/$I$10^0.3))*F64</f>
        <v>0</v>
      </c>
    </row>
    <row r="65" spans="1:11" x14ac:dyDescent="0.25">
      <c r="A65" s="65"/>
      <c r="B65" s="37" t="s">
        <v>59</v>
      </c>
      <c r="C65" s="37"/>
      <c r="D65" s="37"/>
      <c r="E65" s="37"/>
      <c r="F65" s="58"/>
      <c r="G65" s="81">
        <v>800</v>
      </c>
      <c r="H65" s="82">
        <v>0.14000000000000001</v>
      </c>
      <c r="I65" s="83">
        <v>4</v>
      </c>
      <c r="J65" s="84" t="s">
        <v>121</v>
      </c>
      <c r="K65" s="85">
        <f t="shared" si="3"/>
        <v>0</v>
      </c>
    </row>
    <row r="66" spans="1:11" x14ac:dyDescent="0.25">
      <c r="A66" s="65"/>
      <c r="B66" s="37" t="s">
        <v>60</v>
      </c>
      <c r="C66" s="37"/>
      <c r="D66" s="37"/>
      <c r="E66" s="37"/>
      <c r="F66" s="58">
        <v>1</v>
      </c>
      <c r="G66" s="81">
        <v>800</v>
      </c>
      <c r="H66" s="82">
        <v>0.28000000000000003</v>
      </c>
      <c r="I66" s="83">
        <v>4</v>
      </c>
      <c r="J66" s="84" t="s">
        <v>121</v>
      </c>
      <c r="K66" s="85">
        <f t="shared" si="3"/>
        <v>1.091405436980684</v>
      </c>
    </row>
    <row r="67" spans="1:11" x14ac:dyDescent="0.25">
      <c r="A67" s="65"/>
      <c r="B67" s="37" t="s">
        <v>61</v>
      </c>
      <c r="C67" s="37"/>
      <c r="D67" s="37"/>
      <c r="E67" s="37"/>
      <c r="F67" s="58"/>
      <c r="G67" s="81">
        <v>1000</v>
      </c>
      <c r="H67" s="82">
        <v>0.34</v>
      </c>
      <c r="I67" s="83">
        <v>4</v>
      </c>
      <c r="J67" s="84" t="s">
        <v>121</v>
      </c>
      <c r="K67" s="85">
        <f t="shared" si="3"/>
        <v>0</v>
      </c>
    </row>
    <row r="68" spans="1:11" x14ac:dyDescent="0.25">
      <c r="A68" s="65"/>
      <c r="B68" s="37" t="s">
        <v>62</v>
      </c>
      <c r="C68" s="37"/>
      <c r="D68" s="37"/>
      <c r="E68" s="37"/>
      <c r="F68" s="58"/>
      <c r="G68" s="81">
        <v>200</v>
      </c>
      <c r="H68" s="82">
        <v>9.0999999999999998E-2</v>
      </c>
      <c r="I68" s="83">
        <v>4</v>
      </c>
      <c r="J68" s="84" t="s">
        <v>121</v>
      </c>
      <c r="K68" s="85">
        <f t="shared" si="3"/>
        <v>0</v>
      </c>
    </row>
    <row r="69" spans="1:11" x14ac:dyDescent="0.25">
      <c r="A69" s="65"/>
      <c r="B69" s="37" t="s">
        <v>63</v>
      </c>
      <c r="C69" s="37"/>
      <c r="D69" s="37"/>
      <c r="E69" s="37"/>
      <c r="F69" s="58"/>
      <c r="G69" s="81">
        <v>150</v>
      </c>
      <c r="H69" s="90">
        <v>0.05</v>
      </c>
      <c r="I69" s="83">
        <v>4</v>
      </c>
      <c r="J69" s="84" t="s">
        <v>121</v>
      </c>
      <c r="K69" s="85">
        <f t="shared" si="3"/>
        <v>0</v>
      </c>
    </row>
    <row r="70" spans="1:11" x14ac:dyDescent="0.25">
      <c r="A70" s="68"/>
      <c r="B70" s="69" t="s">
        <v>64</v>
      </c>
      <c r="C70" s="69"/>
      <c r="D70" s="69"/>
      <c r="E70" s="69"/>
      <c r="F70" s="71"/>
      <c r="G70" s="69">
        <v>100</v>
      </c>
      <c r="H70" s="79">
        <v>0</v>
      </c>
      <c r="I70" s="69">
        <v>0</v>
      </c>
      <c r="J70" s="80" t="s">
        <v>121</v>
      </c>
      <c r="K70" s="73">
        <f t="shared" si="3"/>
        <v>0</v>
      </c>
    </row>
    <row r="72" spans="1:11" x14ac:dyDescent="0.25">
      <c r="A72" s="59"/>
      <c r="B72" s="60" t="s">
        <v>65</v>
      </c>
      <c r="C72" s="61"/>
      <c r="D72" s="61"/>
      <c r="E72" s="61"/>
      <c r="F72" s="77" t="s">
        <v>116</v>
      </c>
      <c r="G72" s="78" t="s">
        <v>117</v>
      </c>
      <c r="H72" s="78" t="s">
        <v>141</v>
      </c>
      <c r="I72" s="78" t="s">
        <v>118</v>
      </c>
      <c r="J72" s="78" t="s">
        <v>119</v>
      </c>
      <c r="K72" s="78"/>
    </row>
    <row r="73" spans="1:11" x14ac:dyDescent="0.25">
      <c r="A73" s="65"/>
      <c r="B73" s="37" t="s">
        <v>66</v>
      </c>
      <c r="C73" s="37"/>
      <c r="D73" s="37"/>
      <c r="E73" s="37"/>
      <c r="F73" s="58"/>
      <c r="G73" s="81">
        <v>950</v>
      </c>
      <c r="H73" s="82">
        <v>0.25</v>
      </c>
      <c r="I73" s="83">
        <v>4</v>
      </c>
      <c r="J73" s="84" t="s">
        <v>121</v>
      </c>
      <c r="K73" s="85">
        <f t="shared" ref="K73:K84" si="4">(G73/$F$25+H73*(1+I73/$I$10^0.3))*F73</f>
        <v>0</v>
      </c>
    </row>
    <row r="74" spans="1:11" x14ac:dyDescent="0.25">
      <c r="A74" s="65"/>
      <c r="B74" s="37" t="s">
        <v>67</v>
      </c>
      <c r="C74" s="37"/>
      <c r="D74" s="37"/>
      <c r="E74" s="37"/>
      <c r="F74" s="58"/>
      <c r="G74" s="81">
        <v>1000</v>
      </c>
      <c r="H74" s="82">
        <v>0.69</v>
      </c>
      <c r="I74" s="83">
        <v>4</v>
      </c>
      <c r="J74" s="84" t="s">
        <v>121</v>
      </c>
      <c r="K74" s="85">
        <f t="shared" si="4"/>
        <v>0</v>
      </c>
    </row>
    <row r="75" spans="1:11" x14ac:dyDescent="0.25">
      <c r="A75" s="65"/>
      <c r="B75" s="37" t="s">
        <v>68</v>
      </c>
      <c r="C75" s="37"/>
      <c r="D75" s="37"/>
      <c r="E75" s="37"/>
      <c r="F75" s="58"/>
      <c r="G75" s="81">
        <v>1500</v>
      </c>
      <c r="H75" s="88">
        <v>1.7</v>
      </c>
      <c r="I75" s="83">
        <v>3.6</v>
      </c>
      <c r="J75" s="84" t="s">
        <v>121</v>
      </c>
      <c r="K75" s="85">
        <f t="shared" si="4"/>
        <v>0</v>
      </c>
    </row>
    <row r="76" spans="1:11" x14ac:dyDescent="0.25">
      <c r="A76" s="65"/>
      <c r="B76" s="37" t="s">
        <v>69</v>
      </c>
      <c r="C76" s="37"/>
      <c r="D76" s="37"/>
      <c r="E76" s="37"/>
      <c r="F76" s="58"/>
      <c r="G76" s="81">
        <v>500</v>
      </c>
      <c r="H76" s="82">
        <v>0.41</v>
      </c>
      <c r="I76" s="83">
        <v>4</v>
      </c>
      <c r="J76" s="84" t="s">
        <v>121</v>
      </c>
      <c r="K76" s="85">
        <f t="shared" si="4"/>
        <v>0</v>
      </c>
    </row>
    <row r="77" spans="1:11" x14ac:dyDescent="0.25">
      <c r="A77" s="65"/>
      <c r="B77" s="37" t="s">
        <v>70</v>
      </c>
      <c r="C77" s="37"/>
      <c r="D77" s="37"/>
      <c r="E77" s="37"/>
      <c r="F77" s="58"/>
      <c r="G77" s="81">
        <v>300</v>
      </c>
      <c r="H77" s="82">
        <v>8.4000000000000005E-2</v>
      </c>
      <c r="I77" s="83">
        <v>3.9</v>
      </c>
      <c r="J77" s="84" t="s">
        <v>121</v>
      </c>
      <c r="K77" s="85">
        <f t="shared" si="4"/>
        <v>0</v>
      </c>
    </row>
    <row r="78" spans="1:11" x14ac:dyDescent="0.25">
      <c r="A78" s="65"/>
      <c r="B78" s="37" t="s">
        <v>71</v>
      </c>
      <c r="C78" s="37"/>
      <c r="D78" s="37"/>
      <c r="E78" s="37"/>
      <c r="F78" s="58">
        <v>2</v>
      </c>
      <c r="G78" s="81">
        <v>300</v>
      </c>
      <c r="H78" s="82">
        <v>0.14000000000000001</v>
      </c>
      <c r="I78" s="83">
        <v>4</v>
      </c>
      <c r="J78" s="84" t="s">
        <v>121</v>
      </c>
      <c r="K78" s="85">
        <f t="shared" si="4"/>
        <v>1.089936543866475</v>
      </c>
    </row>
    <row r="79" spans="1:11" x14ac:dyDescent="0.25">
      <c r="A79" s="65"/>
      <c r="B79" s="37" t="s">
        <v>72</v>
      </c>
      <c r="C79" s="37"/>
      <c r="D79" s="37"/>
      <c r="E79" s="37"/>
      <c r="F79" s="58"/>
      <c r="G79" s="81">
        <v>300</v>
      </c>
      <c r="H79" s="82">
        <v>3.6999999999999998E-2</v>
      </c>
      <c r="I79" s="83">
        <v>3.9</v>
      </c>
      <c r="J79" s="84" t="s">
        <v>121</v>
      </c>
      <c r="K79" s="85">
        <f t="shared" si="4"/>
        <v>0</v>
      </c>
    </row>
    <row r="80" spans="1:11" x14ac:dyDescent="0.25">
      <c r="A80" s="65"/>
      <c r="B80" s="37" t="s">
        <v>73</v>
      </c>
      <c r="C80" s="37"/>
      <c r="D80" s="37"/>
      <c r="E80" s="37"/>
      <c r="F80" s="58"/>
      <c r="G80" s="81">
        <v>300</v>
      </c>
      <c r="H80" s="82">
        <v>1.7000000000000001E-2</v>
      </c>
      <c r="I80" s="87">
        <v>3.5</v>
      </c>
      <c r="J80" s="84" t="s">
        <v>121</v>
      </c>
      <c r="K80" s="85">
        <f t="shared" si="4"/>
        <v>0</v>
      </c>
    </row>
    <row r="81" spans="1:11" x14ac:dyDescent="0.25">
      <c r="A81" s="65"/>
      <c r="B81" s="37" t="s">
        <v>74</v>
      </c>
      <c r="C81" s="37"/>
      <c r="D81" s="37"/>
      <c r="E81" s="37"/>
      <c r="F81" s="58">
        <v>1</v>
      </c>
      <c r="G81" s="81">
        <v>1000</v>
      </c>
      <c r="H81" s="82">
        <v>0.69</v>
      </c>
      <c r="I81" s="83">
        <v>4.9000000000000004</v>
      </c>
      <c r="J81" s="84" t="s">
        <v>121</v>
      </c>
      <c r="K81" s="85">
        <f t="shared" si="4"/>
        <v>3.1290377441024111</v>
      </c>
    </row>
    <row r="82" spans="1:11" x14ac:dyDescent="0.25">
      <c r="A82" s="65"/>
      <c r="B82" s="37" t="s">
        <v>75</v>
      </c>
      <c r="C82" s="37"/>
      <c r="D82" s="37"/>
      <c r="E82" s="37"/>
      <c r="F82" s="58"/>
      <c r="G82" s="81">
        <v>1000</v>
      </c>
      <c r="H82" s="88">
        <v>2</v>
      </c>
      <c r="I82" s="86"/>
      <c r="J82" s="84" t="s">
        <v>122</v>
      </c>
      <c r="K82" s="85">
        <f>(G82/$F$25+H82*(1+1/$I$14))*F82</f>
        <v>0</v>
      </c>
    </row>
    <row r="83" spans="1:11" x14ac:dyDescent="0.25">
      <c r="A83" s="65"/>
      <c r="B83" s="37" t="s">
        <v>142</v>
      </c>
      <c r="C83" s="37"/>
      <c r="D83" s="37"/>
      <c r="E83" s="37"/>
      <c r="F83" s="58"/>
      <c r="G83" s="81">
        <v>1500</v>
      </c>
      <c r="H83" s="82">
        <v>0.46</v>
      </c>
      <c r="I83" s="83">
        <v>4</v>
      </c>
      <c r="J83" s="84" t="s">
        <v>121</v>
      </c>
      <c r="K83" s="85">
        <f t="shared" si="4"/>
        <v>0</v>
      </c>
    </row>
    <row r="84" spans="1:11" x14ac:dyDescent="0.25">
      <c r="A84" s="65"/>
      <c r="B84" s="37" t="s">
        <v>143</v>
      </c>
      <c r="C84" s="37"/>
      <c r="D84" s="37"/>
      <c r="E84" s="37"/>
      <c r="F84" s="58"/>
      <c r="G84" s="81">
        <v>2000</v>
      </c>
      <c r="H84" s="82">
        <v>2.85</v>
      </c>
      <c r="I84" s="83">
        <v>3.8</v>
      </c>
      <c r="J84" s="84" t="s">
        <v>121</v>
      </c>
      <c r="K84" s="85">
        <f t="shared" si="4"/>
        <v>0</v>
      </c>
    </row>
    <row r="85" spans="1:11" x14ac:dyDescent="0.25">
      <c r="A85" s="68"/>
      <c r="B85" s="69" t="s">
        <v>76</v>
      </c>
      <c r="C85" s="69"/>
      <c r="D85" s="69"/>
      <c r="E85" s="69"/>
      <c r="F85" s="71"/>
      <c r="G85" s="69">
        <v>1000</v>
      </c>
      <c r="H85" s="89">
        <v>0.5</v>
      </c>
      <c r="I85" s="69"/>
      <c r="J85" s="80" t="s">
        <v>122</v>
      </c>
      <c r="K85" s="73">
        <f>(G85/$F$25+H85*(1+1/$I$14))*F85</f>
        <v>0</v>
      </c>
    </row>
    <row r="87" spans="1:11" x14ac:dyDescent="0.25">
      <c r="A87" s="59"/>
      <c r="B87" s="60" t="s">
        <v>123</v>
      </c>
      <c r="C87" s="61"/>
      <c r="D87" s="61"/>
      <c r="E87" s="61" t="s">
        <v>78</v>
      </c>
      <c r="F87" s="94">
        <f>I87*25.4</f>
        <v>38.099999999999994</v>
      </c>
      <c r="G87" s="63" t="s">
        <v>15</v>
      </c>
      <c r="H87" s="61"/>
      <c r="I87" s="62">
        <v>1.5</v>
      </c>
      <c r="J87" s="63" t="s">
        <v>16</v>
      </c>
      <c r="K87" s="64"/>
    </row>
    <row r="88" spans="1:11" x14ac:dyDescent="0.25">
      <c r="A88" s="65">
        <v>1</v>
      </c>
      <c r="B88" s="37" t="s">
        <v>77</v>
      </c>
      <c r="C88" s="37"/>
      <c r="D88" s="37"/>
      <c r="E88" s="37"/>
      <c r="F88" s="36"/>
      <c r="G88" s="23"/>
      <c r="H88" s="37"/>
      <c r="I88" s="37"/>
      <c r="J88" s="37"/>
      <c r="K88" s="66"/>
    </row>
    <row r="89" spans="1:11" x14ac:dyDescent="0.25">
      <c r="A89" s="65"/>
      <c r="B89" s="37"/>
      <c r="C89" s="37"/>
      <c r="D89" s="37"/>
      <c r="E89" s="37" t="s">
        <v>116</v>
      </c>
      <c r="F89" s="58">
        <v>1</v>
      </c>
      <c r="G89" s="37"/>
      <c r="H89" s="37" t="s">
        <v>125</v>
      </c>
      <c r="I89" s="36">
        <f>IF($F$25&lt;=2500,(1.2+160/$F$25)*(($I$14/$I$87)^4-1),(0.6+0.48*$F$26)*($I$14/$I$87)^2*(($I$14/$I$87)^2-1))</f>
        <v>8.1180044806716118</v>
      </c>
      <c r="J89" s="37"/>
      <c r="K89" s="98">
        <f>I89*F89</f>
        <v>8.1180044806716118</v>
      </c>
    </row>
    <row r="90" spans="1:11" x14ac:dyDescent="0.25">
      <c r="A90" s="65"/>
      <c r="B90" s="37"/>
      <c r="C90" s="37"/>
      <c r="D90" s="37"/>
      <c r="E90" s="37"/>
      <c r="F90" s="37"/>
      <c r="G90" s="23"/>
      <c r="H90" s="37"/>
      <c r="I90" s="37"/>
      <c r="J90" s="37"/>
      <c r="K90" s="66"/>
    </row>
    <row r="91" spans="1:11" x14ac:dyDescent="0.25">
      <c r="A91" s="65"/>
      <c r="B91" s="37"/>
      <c r="C91" s="37"/>
      <c r="D91" s="37"/>
      <c r="E91" s="37"/>
      <c r="F91" s="37"/>
      <c r="G91" s="23"/>
      <c r="H91" s="37"/>
      <c r="I91" s="37"/>
      <c r="J91" s="37"/>
      <c r="K91" s="66"/>
    </row>
    <row r="92" spans="1:11" x14ac:dyDescent="0.25">
      <c r="A92" s="65">
        <v>2</v>
      </c>
      <c r="B92" s="35" t="s">
        <v>79</v>
      </c>
      <c r="C92" s="35"/>
      <c r="D92" s="37"/>
      <c r="E92" s="37"/>
      <c r="F92" s="37"/>
      <c r="G92" s="37"/>
      <c r="H92" s="37"/>
      <c r="I92" s="37"/>
      <c r="J92" s="37"/>
      <c r="K92" s="66"/>
    </row>
    <row r="93" spans="1:11" x14ac:dyDescent="0.25">
      <c r="A93" s="65"/>
      <c r="B93" s="37"/>
      <c r="C93" s="37"/>
      <c r="D93" s="37"/>
      <c r="E93" s="67" t="s">
        <v>80</v>
      </c>
      <c r="F93" s="58">
        <v>30</v>
      </c>
      <c r="G93" s="23" t="s">
        <v>81</v>
      </c>
      <c r="H93" s="37"/>
      <c r="I93" s="24">
        <f>PI()*F93/180</f>
        <v>0.52359877559829882</v>
      </c>
      <c r="J93" s="37" t="s">
        <v>124</v>
      </c>
      <c r="K93" s="66"/>
    </row>
    <row r="94" spans="1:11" x14ac:dyDescent="0.25">
      <c r="A94" s="65"/>
      <c r="B94" s="37"/>
      <c r="C94" s="37"/>
      <c r="D94" s="37"/>
      <c r="E94" s="37" t="s">
        <v>116</v>
      </c>
      <c r="F94" s="58"/>
      <c r="G94" s="37"/>
      <c r="H94" s="37" t="s">
        <v>125</v>
      </c>
      <c r="I94" s="97">
        <f>IF(F93&lt;45,1.6*SIN(I93/2)*I89,(SIN(I93/2))^0.5*I89)</f>
        <v>3.3617506685206582</v>
      </c>
      <c r="J94" s="37"/>
      <c r="K94" s="98">
        <f>I94*F94</f>
        <v>0</v>
      </c>
    </row>
    <row r="95" spans="1:11" x14ac:dyDescent="0.25">
      <c r="A95" s="65"/>
      <c r="B95" s="37"/>
      <c r="C95" s="37"/>
      <c r="D95" s="37"/>
      <c r="E95" s="37"/>
      <c r="F95" s="37"/>
      <c r="G95" s="37"/>
      <c r="H95" s="37"/>
      <c r="I95" s="37"/>
      <c r="J95" s="37"/>
      <c r="K95" s="66"/>
    </row>
    <row r="96" spans="1:11" x14ac:dyDescent="0.25">
      <c r="A96" s="65">
        <v>3</v>
      </c>
      <c r="B96" s="37" t="s">
        <v>88</v>
      </c>
      <c r="C96" s="37"/>
      <c r="D96" s="37"/>
      <c r="E96" s="35"/>
      <c r="F96" s="36"/>
      <c r="G96" s="29"/>
      <c r="H96" s="37"/>
      <c r="I96" s="37"/>
      <c r="J96" s="37"/>
      <c r="K96" s="66"/>
    </row>
    <row r="97" spans="1:11" x14ac:dyDescent="0.25">
      <c r="A97" s="65"/>
      <c r="B97" s="37"/>
      <c r="C97" s="37"/>
      <c r="D97" s="37"/>
      <c r="E97" s="35"/>
      <c r="F97" s="49"/>
      <c r="G97" s="29"/>
      <c r="H97" s="37"/>
      <c r="I97" s="37"/>
      <c r="J97" s="37"/>
      <c r="K97" s="66"/>
    </row>
    <row r="98" spans="1:11" x14ac:dyDescent="0.25">
      <c r="A98" s="65"/>
      <c r="B98" s="37"/>
      <c r="C98" s="37"/>
      <c r="D98" s="37"/>
      <c r="E98" s="37" t="s">
        <v>116</v>
      </c>
      <c r="F98" s="106"/>
      <c r="G98" s="37"/>
      <c r="H98" s="37" t="s">
        <v>125</v>
      </c>
      <c r="I98" s="97">
        <f>(0.1+50/F25)*((I14/I87)^4-1)</f>
        <v>1.6561333431401175</v>
      </c>
      <c r="J98" s="37"/>
      <c r="K98" s="100">
        <f>I98*F98</f>
        <v>0</v>
      </c>
    </row>
    <row r="99" spans="1:11" x14ac:dyDescent="0.2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70"/>
    </row>
    <row r="100" spans="1:11" x14ac:dyDescent="0.25">
      <c r="A100" s="101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x14ac:dyDescent="0.25">
      <c r="A101" s="59"/>
      <c r="B101" s="60" t="s">
        <v>127</v>
      </c>
      <c r="C101" s="61"/>
      <c r="D101" s="61"/>
      <c r="E101" s="61" t="s">
        <v>78</v>
      </c>
      <c r="F101" s="94">
        <f>I101*25.4</f>
        <v>25.4</v>
      </c>
      <c r="G101" s="63" t="s">
        <v>15</v>
      </c>
      <c r="H101" s="61"/>
      <c r="I101" s="62">
        <v>1</v>
      </c>
      <c r="J101" s="63" t="s">
        <v>16</v>
      </c>
      <c r="K101" s="64"/>
    </row>
    <row r="102" spans="1:11" x14ac:dyDescent="0.25">
      <c r="A102" s="65">
        <v>1</v>
      </c>
      <c r="B102" s="37" t="s">
        <v>82</v>
      </c>
      <c r="C102" s="37"/>
      <c r="D102" s="37"/>
      <c r="E102" s="37"/>
      <c r="F102" s="37"/>
      <c r="G102" s="37"/>
      <c r="H102" s="37"/>
      <c r="I102" s="37"/>
      <c r="J102" s="37"/>
      <c r="K102" s="66"/>
    </row>
    <row r="103" spans="1:11" x14ac:dyDescent="0.25">
      <c r="A103" s="65"/>
      <c r="B103" s="37"/>
      <c r="C103" s="37"/>
      <c r="D103" s="37"/>
      <c r="E103" s="37"/>
      <c r="F103" s="37"/>
      <c r="G103" s="37"/>
      <c r="H103" s="37"/>
      <c r="I103" s="37"/>
      <c r="J103" s="37"/>
      <c r="K103" s="66"/>
    </row>
    <row r="104" spans="1:11" x14ac:dyDescent="0.25">
      <c r="A104" s="65"/>
      <c r="B104" s="37"/>
      <c r="C104" s="37"/>
      <c r="D104" s="37"/>
      <c r="E104" s="37" t="s">
        <v>116</v>
      </c>
      <c r="F104" s="58">
        <v>1</v>
      </c>
      <c r="G104" s="37"/>
      <c r="H104" s="37" t="s">
        <v>125</v>
      </c>
      <c r="I104" s="97">
        <f>IF($F$25&lt;2500,(2.72 +($I$101/$I$14)^2*(120/$F$25-1))*(1-($I$101/$I$14)^2)*(($I$14/$I$101)^4-1),(2.72 +($I$101/$I$14)^2*(4000/$F$25))*(1-($I$101/$I$14)^2)*(($I$14/$I$101)^4-1))</f>
        <v>213.1961660589148</v>
      </c>
      <c r="J104" s="37"/>
      <c r="K104" s="98">
        <f>I104*F104</f>
        <v>213.1961660589148</v>
      </c>
    </row>
    <row r="105" spans="1:11" x14ac:dyDescent="0.25">
      <c r="A105" s="65"/>
      <c r="B105" s="37"/>
      <c r="C105" s="37"/>
      <c r="D105" s="37"/>
      <c r="E105" s="37"/>
      <c r="F105" s="37"/>
      <c r="G105" s="37"/>
      <c r="H105" s="37"/>
      <c r="I105" s="37"/>
      <c r="J105" s="37"/>
      <c r="K105" s="66"/>
    </row>
    <row r="106" spans="1:11" x14ac:dyDescent="0.25">
      <c r="A106" s="65">
        <v>2</v>
      </c>
      <c r="B106" s="37" t="s">
        <v>83</v>
      </c>
      <c r="C106" s="37"/>
      <c r="D106" s="37"/>
      <c r="E106" s="37"/>
      <c r="F106" s="37"/>
      <c r="G106" s="37"/>
      <c r="H106" s="37"/>
      <c r="I106" s="37"/>
      <c r="J106" s="37"/>
      <c r="K106" s="66"/>
    </row>
    <row r="107" spans="1:11" x14ac:dyDescent="0.25">
      <c r="A107" s="65"/>
      <c r="B107" s="37"/>
      <c r="C107" s="37"/>
      <c r="D107" s="37"/>
      <c r="E107" s="37" t="s">
        <v>84</v>
      </c>
      <c r="F107" s="27">
        <f>I107*25.4</f>
        <v>25.4</v>
      </c>
      <c r="G107" s="23" t="s">
        <v>15</v>
      </c>
      <c r="H107" s="37"/>
      <c r="I107" s="44">
        <v>1</v>
      </c>
      <c r="J107" s="95" t="s">
        <v>16</v>
      </c>
      <c r="K107" s="66"/>
    </row>
    <row r="108" spans="1:11" x14ac:dyDescent="0.25">
      <c r="A108" s="65"/>
      <c r="B108" s="37"/>
      <c r="C108" s="37"/>
      <c r="D108" s="37"/>
      <c r="E108" s="37" t="s">
        <v>116</v>
      </c>
      <c r="F108" s="58"/>
      <c r="G108" s="37"/>
      <c r="H108" s="37" t="s">
        <v>125</v>
      </c>
      <c r="I108" s="97">
        <f>IF(F109&gt;5,IF($F$25&lt;=2500,(1.2+160/$F$25)*(($I$14/$I$101)^4-1),(0.6+0.48*$F$26)*($I$14/$I$101)^2*(($I$14/$I$101)^2-1))+IF($F$25&lt;4000,2*(1-(I101/I14)^4),(1+0.8*$F$26)*(1-(I101/I14)^2)^2),I104*(0.584+(0.0936/(F109^1.5+0.225))))</f>
        <v>140.79648844217311</v>
      </c>
      <c r="J108" s="37"/>
      <c r="K108" s="98">
        <f>I108*F108</f>
        <v>0</v>
      </c>
    </row>
    <row r="109" spans="1:11" x14ac:dyDescent="0.25">
      <c r="A109" s="68"/>
      <c r="B109" s="69"/>
      <c r="C109" s="69"/>
      <c r="D109" s="69"/>
      <c r="E109" s="69" t="s">
        <v>126</v>
      </c>
      <c r="F109" s="99">
        <f>I107/I101</f>
        <v>1</v>
      </c>
      <c r="G109" s="69"/>
      <c r="H109" s="69"/>
      <c r="I109" s="69"/>
      <c r="J109" s="69"/>
      <c r="K109" s="70"/>
    </row>
    <row r="111" spans="1:11" x14ac:dyDescent="0.25">
      <c r="A111" s="59"/>
      <c r="B111" s="60" t="s">
        <v>89</v>
      </c>
      <c r="C111" s="61"/>
      <c r="D111" s="61"/>
      <c r="E111" s="61" t="s">
        <v>78</v>
      </c>
      <c r="F111" s="94">
        <f>I111*25.4</f>
        <v>76.199999999999989</v>
      </c>
      <c r="G111" s="63" t="s">
        <v>15</v>
      </c>
      <c r="H111" s="61"/>
      <c r="I111" s="62">
        <v>3</v>
      </c>
      <c r="J111" s="63" t="s">
        <v>16</v>
      </c>
      <c r="K111" s="64"/>
    </row>
    <row r="112" spans="1:11" x14ac:dyDescent="0.25">
      <c r="A112" s="65">
        <v>1</v>
      </c>
      <c r="B112" s="37" t="s">
        <v>85</v>
      </c>
      <c r="C112" s="37"/>
      <c r="D112" s="37"/>
      <c r="E112" s="37"/>
      <c r="F112" s="37"/>
      <c r="G112" s="37"/>
      <c r="H112" s="37"/>
      <c r="I112" s="37"/>
      <c r="J112" s="37"/>
      <c r="K112" s="66"/>
    </row>
    <row r="113" spans="1:11" x14ac:dyDescent="0.25">
      <c r="A113" s="65"/>
      <c r="B113" s="37"/>
      <c r="C113" s="37"/>
      <c r="D113" s="37"/>
      <c r="E113" s="37"/>
      <c r="F113" s="37"/>
      <c r="G113" s="37"/>
      <c r="H113" s="37"/>
      <c r="I113" s="37"/>
      <c r="J113" s="37"/>
      <c r="K113" s="66"/>
    </row>
    <row r="114" spans="1:11" x14ac:dyDescent="0.25">
      <c r="A114" s="65"/>
      <c r="B114" s="37"/>
      <c r="C114" s="37"/>
      <c r="D114" s="37"/>
      <c r="E114" s="37" t="s">
        <v>116</v>
      </c>
      <c r="F114" s="58">
        <v>1</v>
      </c>
      <c r="G114" s="37"/>
      <c r="H114" s="37" t="s">
        <v>125</v>
      </c>
      <c r="I114" s="97">
        <f>IF($F$25&lt;4000,2*(1-(I14/I111)^4),(1+0.8*$F$26)*(1-(I14/I111)^2)^2)</f>
        <v>2.1355225374104633E-3</v>
      </c>
      <c r="J114" s="37"/>
      <c r="K114" s="98">
        <f>I114*F114</f>
        <v>2.1355225374104633E-3</v>
      </c>
    </row>
    <row r="115" spans="1:11" x14ac:dyDescent="0.25">
      <c r="A115" s="65"/>
      <c r="B115" s="37"/>
      <c r="C115" s="37"/>
      <c r="D115" s="37"/>
      <c r="E115" s="37"/>
      <c r="F115" s="37"/>
      <c r="G115" s="37"/>
      <c r="H115" s="37"/>
      <c r="I115" s="37"/>
      <c r="J115" s="37"/>
      <c r="K115" s="66"/>
    </row>
    <row r="116" spans="1:11" x14ac:dyDescent="0.25">
      <c r="A116" s="65">
        <v>2</v>
      </c>
      <c r="B116" s="37" t="s">
        <v>86</v>
      </c>
      <c r="C116" s="37"/>
      <c r="D116" s="37"/>
      <c r="E116" s="37"/>
      <c r="F116" s="37"/>
      <c r="G116" s="37"/>
      <c r="H116" s="37"/>
      <c r="I116" s="37"/>
      <c r="J116" s="37"/>
      <c r="K116" s="66"/>
    </row>
    <row r="117" spans="1:11" x14ac:dyDescent="0.25">
      <c r="A117" s="65"/>
      <c r="B117" s="37"/>
      <c r="C117" s="37"/>
      <c r="D117" s="67"/>
      <c r="E117" s="67" t="s">
        <v>80</v>
      </c>
      <c r="F117" s="58">
        <v>45</v>
      </c>
      <c r="G117" s="23" t="s">
        <v>81</v>
      </c>
      <c r="H117" s="37"/>
      <c r="I117" s="24">
        <f>PI()*F117/180</f>
        <v>0.78539816339744828</v>
      </c>
      <c r="J117" s="37" t="s">
        <v>124</v>
      </c>
      <c r="K117" s="66"/>
    </row>
    <row r="118" spans="1:11" x14ac:dyDescent="0.25">
      <c r="A118" s="65"/>
      <c r="B118" s="37"/>
      <c r="C118" s="37"/>
      <c r="D118" s="37"/>
      <c r="E118" s="37" t="s">
        <v>116</v>
      </c>
      <c r="F118" s="58"/>
      <c r="G118" s="37"/>
      <c r="H118" s="37" t="s">
        <v>125</v>
      </c>
      <c r="I118" s="97">
        <f>IF(F117&gt;45,I114,I114*2.6*SIN(I117/2))</f>
        <v>2.124795645724029E-3</v>
      </c>
      <c r="J118" s="37"/>
      <c r="K118" s="98">
        <f>I118*F118</f>
        <v>0</v>
      </c>
    </row>
    <row r="119" spans="1:11" x14ac:dyDescent="0.25">
      <c r="A119" s="65"/>
      <c r="B119" s="37"/>
      <c r="C119" s="37"/>
      <c r="D119" s="37"/>
      <c r="E119" s="37"/>
      <c r="F119" s="37"/>
      <c r="G119" s="37"/>
      <c r="H119" s="37"/>
      <c r="I119" s="37"/>
      <c r="J119" s="37"/>
      <c r="K119" s="66"/>
    </row>
    <row r="120" spans="1:11" x14ac:dyDescent="0.25">
      <c r="A120" s="65"/>
      <c r="B120" s="37"/>
      <c r="C120" s="37"/>
      <c r="D120" s="37"/>
      <c r="E120" s="37"/>
      <c r="F120" s="37"/>
      <c r="G120" s="37"/>
      <c r="H120" s="37"/>
      <c r="I120" s="37"/>
      <c r="J120" s="37"/>
      <c r="K120" s="66"/>
    </row>
    <row r="121" spans="1:11" x14ac:dyDescent="0.25">
      <c r="A121" s="65">
        <v>3</v>
      </c>
      <c r="B121" s="37" t="s">
        <v>87</v>
      </c>
      <c r="C121" s="37"/>
      <c r="D121" s="37"/>
      <c r="E121" s="37"/>
      <c r="F121" s="37"/>
      <c r="G121" s="37"/>
      <c r="H121" s="37"/>
      <c r="I121" s="37"/>
      <c r="J121" s="37"/>
      <c r="K121" s="66"/>
    </row>
    <row r="122" spans="1:11" x14ac:dyDescent="0.25">
      <c r="A122" s="65"/>
      <c r="B122" s="37"/>
      <c r="C122" s="37"/>
      <c r="D122" s="37"/>
      <c r="E122" s="37"/>
      <c r="F122" s="37"/>
      <c r="G122" s="37"/>
      <c r="H122" s="37"/>
      <c r="I122" s="37"/>
      <c r="J122" s="37"/>
      <c r="K122" s="66"/>
    </row>
    <row r="123" spans="1:11" x14ac:dyDescent="0.25">
      <c r="A123" s="65"/>
      <c r="B123" s="37"/>
      <c r="C123" s="37"/>
      <c r="D123" s="37"/>
      <c r="E123" s="37" t="s">
        <v>116</v>
      </c>
      <c r="F123" s="58"/>
      <c r="G123" s="37"/>
      <c r="H123" s="37" t="s">
        <v>125</v>
      </c>
      <c r="I123" s="97">
        <f>I114</f>
        <v>2.1355225374104633E-3</v>
      </c>
      <c r="J123" s="37"/>
      <c r="K123" s="98">
        <f>I123*F123</f>
        <v>0</v>
      </c>
    </row>
    <row r="124" spans="1:11" x14ac:dyDescent="0.25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70"/>
    </row>
    <row r="126" spans="1:11" x14ac:dyDescent="0.25">
      <c r="A126" s="59"/>
      <c r="B126" s="60" t="s">
        <v>90</v>
      </c>
      <c r="C126" s="61"/>
      <c r="D126" s="61"/>
      <c r="E126" s="61"/>
      <c r="F126" s="61"/>
      <c r="G126" s="61"/>
      <c r="H126" s="61"/>
      <c r="I126" s="61"/>
      <c r="J126" s="61"/>
      <c r="K126" s="64"/>
    </row>
    <row r="127" spans="1:11" x14ac:dyDescent="0.25">
      <c r="A127" s="65">
        <v>1</v>
      </c>
      <c r="B127" s="37" t="s">
        <v>91</v>
      </c>
      <c r="C127" s="37"/>
      <c r="D127" s="37"/>
      <c r="E127" s="37"/>
      <c r="F127" s="37"/>
      <c r="G127" s="37"/>
      <c r="H127" s="37"/>
      <c r="I127" s="37"/>
      <c r="J127" s="37"/>
      <c r="K127" s="66"/>
    </row>
    <row r="128" spans="1:11" x14ac:dyDescent="0.25">
      <c r="A128" s="65"/>
      <c r="B128" s="37"/>
      <c r="C128" s="37"/>
      <c r="D128" s="37"/>
      <c r="E128" s="37"/>
      <c r="F128" s="37"/>
      <c r="G128" s="37"/>
      <c r="H128" s="37"/>
      <c r="I128" s="37"/>
      <c r="J128" s="37"/>
      <c r="K128" s="66"/>
    </row>
    <row r="129" spans="1:14" x14ac:dyDescent="0.25">
      <c r="A129" s="65"/>
      <c r="B129" s="37"/>
      <c r="C129" s="37"/>
      <c r="D129" s="37"/>
      <c r="E129" s="37" t="s">
        <v>116</v>
      </c>
      <c r="F129" s="58"/>
      <c r="G129" s="37"/>
      <c r="H129" s="37" t="s">
        <v>125</v>
      </c>
      <c r="I129" s="97">
        <v>0.5</v>
      </c>
      <c r="J129" s="37"/>
      <c r="K129" s="98">
        <f>I129*F129</f>
        <v>0</v>
      </c>
    </row>
    <row r="130" spans="1:14" x14ac:dyDescent="0.25">
      <c r="A130" s="65"/>
      <c r="B130" s="37"/>
      <c r="C130" s="37"/>
      <c r="D130" s="37"/>
      <c r="E130" s="37"/>
      <c r="F130" s="37"/>
      <c r="G130" s="37"/>
      <c r="H130" s="37"/>
      <c r="I130" s="37"/>
      <c r="J130" s="37"/>
      <c r="K130" s="66"/>
    </row>
    <row r="131" spans="1:14" x14ac:dyDescent="0.25">
      <c r="A131" s="65">
        <v>2</v>
      </c>
      <c r="B131" s="37" t="s">
        <v>92</v>
      </c>
      <c r="C131" s="37"/>
      <c r="D131" s="37"/>
      <c r="E131" s="37"/>
      <c r="F131" s="37"/>
      <c r="G131" s="37"/>
      <c r="H131" s="37"/>
      <c r="I131" s="37"/>
      <c r="J131" s="37"/>
      <c r="K131" s="66"/>
    </row>
    <row r="132" spans="1:14" x14ac:dyDescent="0.25">
      <c r="A132" s="65"/>
      <c r="B132" s="37"/>
      <c r="C132" s="37"/>
      <c r="D132" s="37"/>
      <c r="E132" s="37" t="s">
        <v>128</v>
      </c>
      <c r="F132" s="103">
        <v>0.02</v>
      </c>
      <c r="G132" s="37"/>
      <c r="H132" s="37"/>
      <c r="I132" s="37"/>
      <c r="J132" s="37"/>
      <c r="K132" s="66"/>
      <c r="M132" t="s">
        <v>128</v>
      </c>
      <c r="N132" t="s">
        <v>120</v>
      </c>
    </row>
    <row r="133" spans="1:14" x14ac:dyDescent="0.25">
      <c r="A133" s="65"/>
      <c r="B133" s="37"/>
      <c r="C133" s="37"/>
      <c r="D133" s="37"/>
      <c r="E133" s="37"/>
      <c r="F133" s="37"/>
      <c r="G133" s="37"/>
      <c r="H133" s="37"/>
      <c r="I133" s="37"/>
      <c r="J133" s="37"/>
      <c r="K133" s="66"/>
      <c r="M133" s="102">
        <v>0.02</v>
      </c>
      <c r="N133">
        <v>0.28000000000000003</v>
      </c>
    </row>
    <row r="134" spans="1:14" x14ac:dyDescent="0.25">
      <c r="A134" s="65"/>
      <c r="B134" s="37"/>
      <c r="C134" s="37"/>
      <c r="D134" s="37"/>
      <c r="E134" s="37" t="s">
        <v>116</v>
      </c>
      <c r="F134" s="58">
        <v>1</v>
      </c>
      <c r="G134" s="37"/>
      <c r="H134" s="37" t="s">
        <v>125</v>
      </c>
      <c r="I134" s="97">
        <f>VLOOKUP(F132,M133:N137,2)</f>
        <v>0.28000000000000003</v>
      </c>
      <c r="J134" s="37"/>
      <c r="K134" s="98">
        <f>I134*F134</f>
        <v>0.28000000000000003</v>
      </c>
      <c r="M134" s="102">
        <v>0.04</v>
      </c>
      <c r="N134">
        <v>0.24</v>
      </c>
    </row>
    <row r="135" spans="1:14" x14ac:dyDescent="0.25">
      <c r="A135" s="65"/>
      <c r="B135" s="37"/>
      <c r="C135" s="37"/>
      <c r="D135" s="37"/>
      <c r="E135" s="37"/>
      <c r="F135" s="37"/>
      <c r="G135" s="37"/>
      <c r="H135" s="37"/>
      <c r="I135" s="37"/>
      <c r="J135" s="37"/>
      <c r="K135" s="66"/>
      <c r="M135" s="102">
        <v>0.06</v>
      </c>
      <c r="N135">
        <v>0.15</v>
      </c>
    </row>
    <row r="136" spans="1:14" x14ac:dyDescent="0.25">
      <c r="A136" s="65">
        <v>3</v>
      </c>
      <c r="B136" s="37" t="s">
        <v>93</v>
      </c>
      <c r="C136" s="37"/>
      <c r="D136" s="37"/>
      <c r="E136" s="37"/>
      <c r="F136" s="37"/>
      <c r="G136" s="37"/>
      <c r="H136" s="37"/>
      <c r="I136" s="37"/>
      <c r="J136" s="37"/>
      <c r="K136" s="66"/>
      <c r="M136" s="102">
        <v>0.1</v>
      </c>
      <c r="N136">
        <v>0.09</v>
      </c>
    </row>
    <row r="137" spans="1:14" x14ac:dyDescent="0.25">
      <c r="A137" s="65"/>
      <c r="B137" s="37"/>
      <c r="C137" s="37"/>
      <c r="D137" s="37"/>
      <c r="E137" s="37"/>
      <c r="F137" s="37"/>
      <c r="G137" s="37"/>
      <c r="H137" s="37"/>
      <c r="I137" s="37"/>
      <c r="J137" s="37"/>
      <c r="K137" s="66"/>
      <c r="M137" s="102" t="s">
        <v>129</v>
      </c>
      <c r="N137">
        <v>0.04</v>
      </c>
    </row>
    <row r="138" spans="1:14" x14ac:dyDescent="0.25">
      <c r="A138" s="65"/>
      <c r="B138" s="37"/>
      <c r="C138" s="37"/>
      <c r="D138" s="37"/>
      <c r="E138" s="37" t="s">
        <v>116</v>
      </c>
      <c r="F138" s="58"/>
      <c r="G138" s="37"/>
      <c r="H138" s="37" t="s">
        <v>125</v>
      </c>
      <c r="I138" s="97">
        <v>0.78</v>
      </c>
      <c r="J138" s="37"/>
      <c r="K138" s="98">
        <f>I138*F138</f>
        <v>0</v>
      </c>
    </row>
    <row r="139" spans="1:14" x14ac:dyDescent="0.25">
      <c r="A139" s="65"/>
      <c r="B139" s="37"/>
      <c r="C139" s="37"/>
      <c r="D139" s="37"/>
      <c r="E139" s="37"/>
      <c r="F139" s="37"/>
      <c r="G139" s="37"/>
      <c r="H139" s="37"/>
      <c r="I139" s="37"/>
      <c r="J139" s="37"/>
      <c r="K139" s="66"/>
    </row>
    <row r="140" spans="1:14" x14ac:dyDescent="0.25">
      <c r="A140" s="65">
        <v>4</v>
      </c>
      <c r="B140" s="37" t="s">
        <v>94</v>
      </c>
      <c r="C140" s="37"/>
      <c r="D140" s="37"/>
      <c r="E140" s="37"/>
      <c r="F140" s="37"/>
      <c r="G140" s="37"/>
      <c r="H140" s="37"/>
      <c r="I140" s="37"/>
      <c r="J140" s="37"/>
      <c r="K140" s="66"/>
    </row>
    <row r="141" spans="1:14" x14ac:dyDescent="0.25">
      <c r="A141" s="65"/>
      <c r="B141" s="37"/>
      <c r="C141" s="37"/>
      <c r="D141" s="37"/>
      <c r="E141" s="37"/>
      <c r="F141" s="37"/>
      <c r="G141" s="37"/>
      <c r="H141" s="37"/>
      <c r="I141" s="37"/>
      <c r="J141" s="37"/>
      <c r="K141" s="66"/>
    </row>
    <row r="142" spans="1:14" x14ac:dyDescent="0.25">
      <c r="A142" s="65"/>
      <c r="B142" s="37"/>
      <c r="C142" s="37"/>
      <c r="D142" s="37"/>
      <c r="E142" s="37" t="s">
        <v>116</v>
      </c>
      <c r="F142" s="58"/>
      <c r="G142" s="37"/>
      <c r="H142" s="37" t="s">
        <v>125</v>
      </c>
      <c r="I142" s="97">
        <v>0.25</v>
      </c>
      <c r="J142" s="37"/>
      <c r="K142" s="98">
        <f>I142*F142</f>
        <v>0</v>
      </c>
    </row>
    <row r="143" spans="1:14" x14ac:dyDescent="0.25">
      <c r="A143" s="65"/>
      <c r="B143" s="37"/>
      <c r="C143" s="37"/>
      <c r="D143" s="37"/>
      <c r="E143" s="37"/>
      <c r="F143" s="37"/>
      <c r="G143" s="37"/>
      <c r="H143" s="37"/>
      <c r="I143" s="37"/>
      <c r="J143" s="37"/>
      <c r="K143" s="66"/>
    </row>
    <row r="144" spans="1:14" x14ac:dyDescent="0.25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70"/>
    </row>
    <row r="145" spans="1:11" x14ac:dyDescent="0.25">
      <c r="A145" s="59"/>
      <c r="B145" s="61"/>
      <c r="C145" s="61"/>
      <c r="D145" s="61"/>
      <c r="E145" s="61"/>
      <c r="F145" s="61"/>
      <c r="G145" s="61"/>
      <c r="H145" s="61"/>
      <c r="I145" s="61"/>
      <c r="J145" s="61"/>
      <c r="K145" s="64"/>
    </row>
    <row r="146" spans="1:11" x14ac:dyDescent="0.25">
      <c r="A146" s="65"/>
      <c r="B146" s="96" t="s">
        <v>95</v>
      </c>
      <c r="C146" s="37"/>
      <c r="D146" s="37"/>
      <c r="E146" s="37" t="s">
        <v>116</v>
      </c>
      <c r="F146" s="58">
        <v>1</v>
      </c>
      <c r="G146" s="37"/>
      <c r="H146" s="37" t="s">
        <v>125</v>
      </c>
      <c r="I146" s="97">
        <v>1</v>
      </c>
      <c r="J146" s="37"/>
      <c r="K146" s="98">
        <f>I146*F146</f>
        <v>1</v>
      </c>
    </row>
    <row r="147" spans="1:11" x14ac:dyDescent="0.25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70"/>
    </row>
    <row r="149" spans="1:11" x14ac:dyDescent="0.25">
      <c r="J149" s="20" t="s">
        <v>130</v>
      </c>
      <c r="K149" s="24">
        <f>SUM(K39:K147)</f>
        <v>228.67060523632668</v>
      </c>
    </row>
    <row r="153" spans="1:11" x14ac:dyDescent="0.25">
      <c r="B153" s="50" t="s">
        <v>97</v>
      </c>
    </row>
    <row r="154" spans="1:11" x14ac:dyDescent="0.25">
      <c r="A154" s="47">
        <v>1</v>
      </c>
      <c r="B154" t="s">
        <v>106</v>
      </c>
      <c r="E154" t="s">
        <v>112</v>
      </c>
      <c r="F154" s="55">
        <f>IF(F156&lt;=2100,F157,IF(F156&lt;=4000,F160,F161))</f>
        <v>1.9960524072934579E-2</v>
      </c>
    </row>
    <row r="155" spans="1:11" x14ac:dyDescent="0.25">
      <c r="B155" t="s">
        <v>102</v>
      </c>
      <c r="F155">
        <f>I12/I14</f>
        <v>5.8670143415906126E-4</v>
      </c>
    </row>
    <row r="156" spans="1:11" x14ac:dyDescent="0.25">
      <c r="B156" t="s">
        <v>103</v>
      </c>
      <c r="F156" s="53">
        <f>F25</f>
        <v>136156.94570650157</v>
      </c>
    </row>
    <row r="157" spans="1:11" x14ac:dyDescent="0.25">
      <c r="B157" t="s">
        <v>104</v>
      </c>
      <c r="E157" t="s">
        <v>105</v>
      </c>
      <c r="F157" s="55">
        <f>64/F156</f>
        <v>4.7004579654685922E-4</v>
      </c>
    </row>
    <row r="158" spans="1:11" x14ac:dyDescent="0.25">
      <c r="B158" t="s">
        <v>114</v>
      </c>
      <c r="E158" t="s">
        <v>107</v>
      </c>
      <c r="F158" s="57">
        <f>(-2.457*LN((7/F156)^0.9+0.27*F155))^16</f>
        <v>6.3465295595972762E+20</v>
      </c>
    </row>
    <row r="159" spans="1:11" x14ac:dyDescent="0.25">
      <c r="E159" t="s">
        <v>108</v>
      </c>
      <c r="F159" s="57">
        <f>(37530/F156)^16</f>
        <v>1.1102485625999149E-9</v>
      </c>
    </row>
    <row r="160" spans="1:11" x14ac:dyDescent="0.25">
      <c r="E160" t="s">
        <v>105</v>
      </c>
      <c r="F160" s="54">
        <f>8*((8/F156)^12+(F158+F159)^(-1.5))^(1/12)</f>
        <v>2.0080427230062363E-2</v>
      </c>
    </row>
    <row r="161" spans="2:12" x14ac:dyDescent="0.25">
      <c r="B161" t="s">
        <v>115</v>
      </c>
      <c r="E161" t="s">
        <v>105</v>
      </c>
      <c r="F161" s="55">
        <f>K169</f>
        <v>1.9960524072934579E-2</v>
      </c>
    </row>
    <row r="163" spans="2:12" x14ac:dyDescent="0.25">
      <c r="B163" t="s">
        <v>111</v>
      </c>
      <c r="D163">
        <v>1</v>
      </c>
      <c r="E163">
        <v>2</v>
      </c>
      <c r="F163">
        <v>3</v>
      </c>
      <c r="G163">
        <v>4</v>
      </c>
      <c r="H163">
        <v>5</v>
      </c>
      <c r="I163">
        <v>6</v>
      </c>
      <c r="J163">
        <v>7</v>
      </c>
      <c r="K163">
        <v>8</v>
      </c>
    </row>
    <row r="164" spans="2:12" x14ac:dyDescent="0.25">
      <c r="B164" t="s">
        <v>109</v>
      </c>
      <c r="D164" s="56">
        <f>F157</f>
        <v>4.7004579654685922E-4</v>
      </c>
      <c r="E164" s="56">
        <f>D165</f>
        <v>2.7848789462020389E-2</v>
      </c>
      <c r="F164" s="56">
        <f>E165</f>
        <v>1.9613579348278901E-2</v>
      </c>
      <c r="G164" s="56">
        <f t="shared" ref="G164:K164" si="5">F165</f>
        <v>1.9979973169729513E-2</v>
      </c>
      <c r="H164" s="56">
        <f t="shared" si="5"/>
        <v>1.9959447387398254E-2</v>
      </c>
      <c r="I164" s="56">
        <f t="shared" si="5"/>
        <v>1.9960583718930974E-2</v>
      </c>
      <c r="J164" s="56">
        <f t="shared" si="5"/>
        <v>1.9960520768806021E-2</v>
      </c>
      <c r="K164" s="56">
        <f t="shared" si="5"/>
        <v>1.9960524255969309E-2</v>
      </c>
    </row>
    <row r="165" spans="2:12" x14ac:dyDescent="0.25">
      <c r="B165" t="s">
        <v>110</v>
      </c>
      <c r="D165" s="56">
        <f>1/((-2*LOG10(( ($F$155/3.7)+(2.51/($F$156*SQRT(D164))))))^2)</f>
        <v>2.7848789462020389E-2</v>
      </c>
      <c r="E165" s="56">
        <f>1/((-2*LOG10(( ($F$155/3.7)+(2.51/($F$156*SQRT(E164))))))^2)</f>
        <v>1.9613579348278901E-2</v>
      </c>
      <c r="F165" s="56">
        <f>1/((-2*LOG10(( ($F$155/3.7)+(2.51/($F$156*SQRT(F164))))))^2)</f>
        <v>1.9979973169729513E-2</v>
      </c>
      <c r="G165" s="56">
        <f t="shared" ref="G165:J165" si="6">1/((-2*LOG10(( ($F$155/3.7)+(2.51/($F$156*SQRT(G164))))))^2)</f>
        <v>1.9959447387398254E-2</v>
      </c>
      <c r="H165" s="56">
        <f t="shared" si="6"/>
        <v>1.9960583718930974E-2</v>
      </c>
      <c r="I165" s="56">
        <f t="shared" si="6"/>
        <v>1.9960520768806021E-2</v>
      </c>
      <c r="J165" s="56">
        <f t="shared" si="6"/>
        <v>1.9960524255969309E-2</v>
      </c>
      <c r="K165" s="56">
        <f t="shared" ref="K165" si="7">1/((-2*LOG10(( ($F$155/3.7)+(2.51/($F$156*SQRT(K164))))))^2)</f>
        <v>1.9960524062795231E-2</v>
      </c>
    </row>
    <row r="167" spans="2:12" x14ac:dyDescent="0.25">
      <c r="B167" t="s">
        <v>111</v>
      </c>
      <c r="D167">
        <v>9</v>
      </c>
      <c r="E167">
        <v>10</v>
      </c>
      <c r="F167">
        <v>11</v>
      </c>
      <c r="G167">
        <v>12</v>
      </c>
      <c r="H167">
        <v>13</v>
      </c>
      <c r="I167">
        <v>14</v>
      </c>
      <c r="J167">
        <v>15</v>
      </c>
      <c r="K167">
        <v>16</v>
      </c>
    </row>
    <row r="168" spans="2:12" x14ac:dyDescent="0.25">
      <c r="B168" t="s">
        <v>109</v>
      </c>
      <c r="D168" s="56">
        <f>K165</f>
        <v>1.9960524062795231E-2</v>
      </c>
      <c r="E168" s="56">
        <f t="shared" ref="E168:K168" si="8">D169</f>
        <v>1.9960524073496255E-2</v>
      </c>
      <c r="F168" s="56">
        <f t="shared" si="8"/>
        <v>1.9960524072903465E-2</v>
      </c>
      <c r="G168" s="56">
        <f t="shared" si="8"/>
        <v>1.9960524072936303E-2</v>
      </c>
      <c r="H168" s="56">
        <f t="shared" si="8"/>
        <v>1.9960524072934482E-2</v>
      </c>
      <c r="I168" s="56">
        <f t="shared" si="8"/>
        <v>1.9960524072934586E-2</v>
      </c>
      <c r="J168" s="56">
        <f t="shared" si="8"/>
        <v>1.9960524072934579E-2</v>
      </c>
      <c r="K168" s="56">
        <f t="shared" si="8"/>
        <v>1.9960524072934579E-2</v>
      </c>
      <c r="L168" s="56"/>
    </row>
    <row r="169" spans="2:12" x14ac:dyDescent="0.25">
      <c r="B169" t="s">
        <v>110</v>
      </c>
      <c r="D169" s="56">
        <f t="shared" ref="D169" si="9">1/((-2*LOG10(( ($F$155/3.7)+(2.51/($F$156*SQRT(D168))))))^2)</f>
        <v>1.9960524073496255E-2</v>
      </c>
      <c r="E169" s="56">
        <f t="shared" ref="E169" si="10">1/((-2*LOG10(( ($F$155/3.7)+(2.51/($F$156*SQRT(E168))))))^2)</f>
        <v>1.9960524072903465E-2</v>
      </c>
      <c r="F169" s="56">
        <f t="shared" ref="F169" si="11">1/((-2*LOG10(( ($F$155/3.7)+(2.51/($F$156*SQRT(F168))))))^2)</f>
        <v>1.9960524072936303E-2</v>
      </c>
      <c r="G169" s="56">
        <f t="shared" ref="G169" si="12">1/((-2*LOG10(( ($F$155/3.7)+(2.51/($F$156*SQRT(G168))))))^2)</f>
        <v>1.9960524072934482E-2</v>
      </c>
      <c r="H169" s="56">
        <f t="shared" ref="H169" si="13">1/((-2*LOG10(( ($F$155/3.7)+(2.51/($F$156*SQRT(H168))))))^2)</f>
        <v>1.9960524072934586E-2</v>
      </c>
      <c r="I169" s="56">
        <f t="shared" ref="I169" si="14">1/((-2*LOG10(( ($F$155/3.7)+(2.51/($F$156*SQRT(I168))))))^2)</f>
        <v>1.9960524072934579E-2</v>
      </c>
      <c r="J169" s="56">
        <f t="shared" ref="J169" si="15">1/((-2*LOG10(( ($F$155/3.7)+(2.51/($F$156*SQRT(J168))))))^2)</f>
        <v>1.9960524072934579E-2</v>
      </c>
      <c r="K169" s="56">
        <f t="shared" ref="K169" si="16">1/((-2*LOG10(( ($F$155/3.7)+(2.51/($F$156*SQRT(K168))))))^2)</f>
        <v>1.9960524072934579E-2</v>
      </c>
      <c r="L169" s="56"/>
    </row>
    <row r="170" spans="2:12" x14ac:dyDescent="0.25"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2:12" x14ac:dyDescent="0.25"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2:12" x14ac:dyDescent="0.25"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2:12" x14ac:dyDescent="0.25"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2:12" x14ac:dyDescent="0.25"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2:12" x14ac:dyDescent="0.25"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2:12" x14ac:dyDescent="0.25"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2:20" x14ac:dyDescent="0.25"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2:20" x14ac:dyDescent="0.25"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2:20" x14ac:dyDescent="0.25"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2:20" x14ac:dyDescent="0.25"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2:20" x14ac:dyDescent="0.25"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2:20" x14ac:dyDescent="0.25"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2:20" x14ac:dyDescent="0.25"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2:20" x14ac:dyDescent="0.25"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2:20" x14ac:dyDescent="0.25"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2:20" x14ac:dyDescent="0.25"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2:20" x14ac:dyDescent="0.25">
      <c r="B187" t="s">
        <v>19</v>
      </c>
      <c r="D187">
        <f>VLOOKUP(I10,F194:U237,16)</f>
        <v>6</v>
      </c>
    </row>
    <row r="188" spans="2:20" x14ac:dyDescent="0.25">
      <c r="B188" t="s">
        <v>20</v>
      </c>
      <c r="D188">
        <f>VLOOKUP(I11,C194:D206,2)</f>
        <v>7</v>
      </c>
    </row>
    <row r="189" spans="2:20" x14ac:dyDescent="0.25">
      <c r="B189" t="s">
        <v>21</v>
      </c>
      <c r="D189">
        <f>VLOOKUP(D187,$E$194:$S$237,D188+2)</f>
        <v>3.0680000000000001</v>
      </c>
    </row>
    <row r="190" spans="2:20" x14ac:dyDescent="0.25">
      <c r="D190">
        <f>D189*25.4</f>
        <v>77.927199999999999</v>
      </c>
    </row>
    <row r="192" spans="2:20" x14ac:dyDescent="0.25">
      <c r="E192" s="16"/>
      <c r="F192" s="16"/>
      <c r="G192" s="17" t="s">
        <v>8</v>
      </c>
      <c r="H192" s="17"/>
      <c r="I192" s="17"/>
      <c r="J192" s="17"/>
      <c r="K192" s="17"/>
      <c r="L192" s="17"/>
      <c r="M192" s="17"/>
      <c r="N192" s="16"/>
      <c r="O192" s="16"/>
      <c r="P192" s="16"/>
      <c r="Q192" s="16"/>
      <c r="R192" s="16"/>
      <c r="S192" s="16"/>
      <c r="T192" s="16"/>
    </row>
    <row r="193" spans="2:21" x14ac:dyDescent="0.25">
      <c r="C193" t="s">
        <v>9</v>
      </c>
      <c r="E193" s="18"/>
      <c r="F193" s="18" t="s">
        <v>57</v>
      </c>
      <c r="G193" s="18">
        <v>0.375</v>
      </c>
      <c r="H193" s="18">
        <v>0.5</v>
      </c>
      <c r="I193" s="19">
        <v>1</v>
      </c>
      <c r="J193" s="18">
        <v>10</v>
      </c>
      <c r="K193" s="18">
        <v>20</v>
      </c>
      <c r="L193" s="18">
        <v>30</v>
      </c>
      <c r="M193" s="17">
        <v>40</v>
      </c>
      <c r="N193" s="18">
        <v>60</v>
      </c>
      <c r="O193" s="18">
        <v>80</v>
      </c>
      <c r="P193" s="18">
        <v>100</v>
      </c>
      <c r="Q193" s="18">
        <v>120</v>
      </c>
      <c r="R193" s="18">
        <v>140</v>
      </c>
      <c r="S193" s="18">
        <v>160</v>
      </c>
      <c r="T193" s="18" t="s">
        <v>11</v>
      </c>
    </row>
    <row r="194" spans="2:21" x14ac:dyDescent="0.25">
      <c r="B194">
        <v>1</v>
      </c>
      <c r="C194" s="18">
        <v>0.375</v>
      </c>
      <c r="D194">
        <v>1</v>
      </c>
      <c r="E194" s="18">
        <v>1</v>
      </c>
      <c r="F194" s="18">
        <v>0.5</v>
      </c>
      <c r="G194" s="18"/>
      <c r="H194" s="18"/>
      <c r="I194" s="18"/>
      <c r="J194" s="18"/>
      <c r="K194" s="18"/>
      <c r="L194" s="18"/>
      <c r="M194" s="17">
        <v>0.622</v>
      </c>
      <c r="N194" s="18"/>
      <c r="O194" s="18">
        <v>0.54600000000000004</v>
      </c>
      <c r="P194" s="18"/>
      <c r="Q194" s="18"/>
      <c r="R194" s="18"/>
      <c r="S194" s="18">
        <v>0.46600000000000003</v>
      </c>
      <c r="T194" s="18">
        <v>0.84</v>
      </c>
      <c r="U194" s="18">
        <v>1</v>
      </c>
    </row>
    <row r="195" spans="2:21" x14ac:dyDescent="0.25">
      <c r="B195">
        <v>2</v>
      </c>
      <c r="C195" s="18">
        <v>0.5</v>
      </c>
      <c r="D195">
        <v>2</v>
      </c>
      <c r="E195" s="18">
        <f t="shared" ref="E195:E226" si="17">1+E194</f>
        <v>2</v>
      </c>
      <c r="F195" s="18">
        <v>0.75</v>
      </c>
      <c r="G195" s="18"/>
      <c r="H195" s="18"/>
      <c r="I195" s="18"/>
      <c r="J195" s="18"/>
      <c r="K195" s="18"/>
      <c r="L195" s="18"/>
      <c r="M195" s="17">
        <v>0.82399999999999995</v>
      </c>
      <c r="N195" s="18"/>
      <c r="O195" s="18">
        <v>0.74199999999999999</v>
      </c>
      <c r="P195" s="18"/>
      <c r="Q195" s="18"/>
      <c r="R195" s="18"/>
      <c r="S195" s="18">
        <v>0.61199999999999999</v>
      </c>
      <c r="T195" s="18">
        <v>1.05</v>
      </c>
      <c r="U195" s="18">
        <f t="shared" ref="U195:U226" si="18">1+U194</f>
        <v>2</v>
      </c>
    </row>
    <row r="196" spans="2:21" x14ac:dyDescent="0.25">
      <c r="B196">
        <v>3</v>
      </c>
      <c r="C196" s="19">
        <v>1</v>
      </c>
      <c r="D196">
        <v>3</v>
      </c>
      <c r="E196" s="18">
        <f t="shared" si="17"/>
        <v>3</v>
      </c>
      <c r="F196" s="18">
        <v>1</v>
      </c>
      <c r="G196" s="18">
        <v>0.56499999999999995</v>
      </c>
      <c r="H196" s="18"/>
      <c r="I196" s="18"/>
      <c r="J196" s="18"/>
      <c r="K196" s="18"/>
      <c r="L196" s="18"/>
      <c r="M196" s="17">
        <v>1.0489999999999999</v>
      </c>
      <c r="N196" s="18"/>
      <c r="O196" s="18">
        <v>0.95699999999999996</v>
      </c>
      <c r="P196" s="18"/>
      <c r="Q196" s="18"/>
      <c r="R196" s="18"/>
      <c r="S196" s="18">
        <v>0.81499999999999995</v>
      </c>
      <c r="T196" s="18">
        <v>1.3149999999999999</v>
      </c>
      <c r="U196" s="18">
        <f t="shared" si="18"/>
        <v>3</v>
      </c>
    </row>
    <row r="197" spans="2:21" x14ac:dyDescent="0.25">
      <c r="B197">
        <v>4</v>
      </c>
      <c r="C197" s="18">
        <v>10</v>
      </c>
      <c r="D197">
        <v>4</v>
      </c>
      <c r="E197" s="18">
        <f t="shared" si="17"/>
        <v>4</v>
      </c>
      <c r="F197" s="18">
        <v>1.5</v>
      </c>
      <c r="G197" s="18">
        <v>1.1499999999999999</v>
      </c>
      <c r="H197" s="18"/>
      <c r="I197" s="18"/>
      <c r="J197" s="18"/>
      <c r="K197" s="18"/>
      <c r="L197" s="18"/>
      <c r="M197" s="17">
        <v>1.61</v>
      </c>
      <c r="N197" s="18"/>
      <c r="O197" s="18">
        <v>1.5</v>
      </c>
      <c r="P197" s="18"/>
      <c r="Q197" s="18"/>
      <c r="R197" s="18"/>
      <c r="S197" s="18">
        <v>1.3380000000000001</v>
      </c>
      <c r="T197" s="18">
        <v>1.9</v>
      </c>
      <c r="U197" s="18">
        <f t="shared" si="18"/>
        <v>4</v>
      </c>
    </row>
    <row r="198" spans="2:21" x14ac:dyDescent="0.25">
      <c r="B198">
        <v>5</v>
      </c>
      <c r="C198" s="18">
        <v>20</v>
      </c>
      <c r="D198">
        <v>5</v>
      </c>
      <c r="E198" s="18">
        <f t="shared" si="17"/>
        <v>5</v>
      </c>
      <c r="F198" s="18">
        <v>2</v>
      </c>
      <c r="G198" s="18">
        <v>1.625</v>
      </c>
      <c r="H198" s="18"/>
      <c r="I198" s="18"/>
      <c r="J198" s="18"/>
      <c r="K198" s="18"/>
      <c r="L198" s="18"/>
      <c r="M198" s="17">
        <v>2.0670000000000002</v>
      </c>
      <c r="N198" s="18"/>
      <c r="O198" s="18">
        <v>1.9390000000000001</v>
      </c>
      <c r="P198" s="18"/>
      <c r="Q198" s="18"/>
      <c r="R198" s="18"/>
      <c r="S198" s="18">
        <v>1.6870000000000001</v>
      </c>
      <c r="T198" s="18">
        <v>2.375</v>
      </c>
      <c r="U198" s="18">
        <f t="shared" si="18"/>
        <v>5</v>
      </c>
    </row>
    <row r="199" spans="2:21" x14ac:dyDescent="0.25">
      <c r="B199">
        <v>6</v>
      </c>
      <c r="C199" s="18">
        <v>30</v>
      </c>
      <c r="D199">
        <v>6</v>
      </c>
      <c r="E199" s="18">
        <f t="shared" si="17"/>
        <v>6</v>
      </c>
      <c r="F199" s="18">
        <v>3</v>
      </c>
      <c r="G199" s="18">
        <v>2.75</v>
      </c>
      <c r="H199" s="18"/>
      <c r="I199" s="18"/>
      <c r="J199" s="18"/>
      <c r="K199" s="18"/>
      <c r="L199" s="18"/>
      <c r="M199" s="17">
        <v>3.0680000000000001</v>
      </c>
      <c r="N199" s="18"/>
      <c r="O199" s="18">
        <v>2.9</v>
      </c>
      <c r="P199" s="18"/>
      <c r="Q199" s="18"/>
      <c r="R199" s="18"/>
      <c r="S199" s="18">
        <v>2.6240000000000001</v>
      </c>
      <c r="T199" s="18">
        <v>3.5</v>
      </c>
      <c r="U199" s="18">
        <f t="shared" si="18"/>
        <v>6</v>
      </c>
    </row>
    <row r="200" spans="2:21" x14ac:dyDescent="0.25">
      <c r="B200">
        <v>7</v>
      </c>
      <c r="C200" s="17">
        <v>40</v>
      </c>
      <c r="D200">
        <v>7</v>
      </c>
      <c r="E200" s="18">
        <f t="shared" si="17"/>
        <v>7</v>
      </c>
      <c r="F200" s="18">
        <v>4</v>
      </c>
      <c r="G200" s="18">
        <v>3.75</v>
      </c>
      <c r="H200" s="18"/>
      <c r="I200" s="18"/>
      <c r="J200" s="18"/>
      <c r="K200" s="18"/>
      <c r="L200" s="18"/>
      <c r="M200" s="17">
        <v>4.0259999999999998</v>
      </c>
      <c r="N200" s="18"/>
      <c r="O200" s="18">
        <v>3.8260000000000001</v>
      </c>
      <c r="P200" s="18"/>
      <c r="Q200" s="18">
        <v>3.6240000000000001</v>
      </c>
      <c r="R200" s="18"/>
      <c r="S200" s="18">
        <v>3.4380000000000002</v>
      </c>
      <c r="T200" s="18">
        <v>4.5</v>
      </c>
      <c r="U200" s="18">
        <f t="shared" si="18"/>
        <v>7</v>
      </c>
    </row>
    <row r="201" spans="2:21" x14ac:dyDescent="0.25">
      <c r="B201">
        <v>8</v>
      </c>
      <c r="C201" s="18">
        <v>60</v>
      </c>
      <c r="D201">
        <v>8</v>
      </c>
      <c r="E201" s="18">
        <f t="shared" si="17"/>
        <v>8</v>
      </c>
      <c r="F201" s="18">
        <v>6</v>
      </c>
      <c r="G201" s="18">
        <v>5.875</v>
      </c>
      <c r="H201" s="18"/>
      <c r="I201" s="18"/>
      <c r="J201" s="18"/>
      <c r="K201" s="18"/>
      <c r="L201" s="18"/>
      <c r="M201" s="17">
        <v>6.0650000000000004</v>
      </c>
      <c r="N201" s="18"/>
      <c r="O201" s="18">
        <v>5.7610000000000001</v>
      </c>
      <c r="P201" s="18"/>
      <c r="Q201" s="18">
        <v>5.5010000000000003</v>
      </c>
      <c r="R201" s="18"/>
      <c r="S201" s="18">
        <v>5.1870000000000003</v>
      </c>
      <c r="T201" s="18">
        <v>6.625</v>
      </c>
      <c r="U201" s="18">
        <f t="shared" si="18"/>
        <v>8</v>
      </c>
    </row>
    <row r="202" spans="2:21" x14ac:dyDescent="0.25">
      <c r="B202">
        <v>9</v>
      </c>
      <c r="C202" s="18">
        <v>80</v>
      </c>
      <c r="D202">
        <v>9</v>
      </c>
      <c r="E202" s="18">
        <f t="shared" si="17"/>
        <v>9</v>
      </c>
      <c r="F202" s="18">
        <v>8</v>
      </c>
      <c r="G202" s="18">
        <v>7.875</v>
      </c>
      <c r="H202" s="18">
        <v>7.625</v>
      </c>
      <c r="I202" s="18"/>
      <c r="J202" s="18"/>
      <c r="K202" s="18">
        <v>8.125</v>
      </c>
      <c r="L202" s="18">
        <v>8.0709999999999997</v>
      </c>
      <c r="M202" s="17">
        <v>7.9809999999999999</v>
      </c>
      <c r="N202" s="18">
        <v>7.8129999999999997</v>
      </c>
      <c r="O202" s="18">
        <v>7.625</v>
      </c>
      <c r="P202" s="18">
        <v>7.4370000000000003</v>
      </c>
      <c r="Q202" s="18">
        <v>7.1870000000000003</v>
      </c>
      <c r="R202" s="18">
        <v>7.0010000000000003</v>
      </c>
      <c r="S202" s="18">
        <v>6.8712999999999997</v>
      </c>
      <c r="T202" s="18">
        <v>8.625</v>
      </c>
      <c r="U202" s="18">
        <f t="shared" si="18"/>
        <v>9</v>
      </c>
    </row>
    <row r="203" spans="2:21" x14ac:dyDescent="0.25">
      <c r="B203">
        <v>10</v>
      </c>
      <c r="C203" s="18">
        <v>100</v>
      </c>
      <c r="D203">
        <v>10</v>
      </c>
      <c r="E203" s="18">
        <f t="shared" si="17"/>
        <v>10</v>
      </c>
      <c r="F203" s="18">
        <v>10</v>
      </c>
      <c r="G203" s="18">
        <v>10</v>
      </c>
      <c r="H203" s="18">
        <v>9.75</v>
      </c>
      <c r="I203" s="18"/>
      <c r="J203" s="18"/>
      <c r="K203" s="18">
        <v>10.25</v>
      </c>
      <c r="L203" s="18">
        <v>10.135999999999999</v>
      </c>
      <c r="M203" s="17">
        <v>10.02</v>
      </c>
      <c r="N203" s="18">
        <v>9.75</v>
      </c>
      <c r="O203" s="18">
        <v>9.5619999999999994</v>
      </c>
      <c r="P203" s="18">
        <v>9.3119999999999994</v>
      </c>
      <c r="Q203" s="18">
        <v>9.0619999999999994</v>
      </c>
      <c r="R203" s="18">
        <v>8.75</v>
      </c>
      <c r="S203" s="18">
        <v>8.5</v>
      </c>
      <c r="T203" s="18">
        <v>10.75</v>
      </c>
      <c r="U203" s="18">
        <f t="shared" si="18"/>
        <v>10</v>
      </c>
    </row>
    <row r="204" spans="2:21" x14ac:dyDescent="0.25">
      <c r="B204">
        <v>11</v>
      </c>
      <c r="C204" s="18">
        <v>120</v>
      </c>
      <c r="D204">
        <v>11</v>
      </c>
      <c r="E204" s="18">
        <f t="shared" si="17"/>
        <v>11</v>
      </c>
      <c r="F204" s="18">
        <v>12</v>
      </c>
      <c r="G204" s="18">
        <v>12</v>
      </c>
      <c r="H204" s="18">
        <v>11.75</v>
      </c>
      <c r="I204" s="18"/>
      <c r="J204" s="18"/>
      <c r="K204" s="18">
        <v>12.25</v>
      </c>
      <c r="L204" s="18">
        <v>12.06</v>
      </c>
      <c r="M204" s="17">
        <v>11.938000000000001</v>
      </c>
      <c r="N204" s="18">
        <v>11.625999999999999</v>
      </c>
      <c r="O204" s="18">
        <v>11.374000000000001</v>
      </c>
      <c r="P204" s="18">
        <v>11.061999999999999</v>
      </c>
      <c r="Q204" s="18">
        <v>10.75</v>
      </c>
      <c r="R204" s="18">
        <v>10.5</v>
      </c>
      <c r="S204" s="18">
        <v>10.125999999999999</v>
      </c>
      <c r="T204" s="18">
        <v>12.75</v>
      </c>
      <c r="U204" s="18">
        <f t="shared" si="18"/>
        <v>11</v>
      </c>
    </row>
    <row r="205" spans="2:21" x14ac:dyDescent="0.25">
      <c r="B205">
        <v>12</v>
      </c>
      <c r="C205" s="18">
        <v>140</v>
      </c>
      <c r="D205">
        <v>12</v>
      </c>
      <c r="E205" s="18">
        <f t="shared" si="17"/>
        <v>12</v>
      </c>
      <c r="F205" s="18">
        <v>14</v>
      </c>
      <c r="G205" s="18">
        <v>13.25</v>
      </c>
      <c r="H205" s="18">
        <v>13</v>
      </c>
      <c r="I205" s="18"/>
      <c r="J205" s="18">
        <v>13.5</v>
      </c>
      <c r="K205" s="18">
        <v>13.375999999999999</v>
      </c>
      <c r="L205" s="18">
        <v>13.25</v>
      </c>
      <c r="M205" s="17">
        <v>13.124000000000001</v>
      </c>
      <c r="N205" s="18">
        <v>12.811999999999999</v>
      </c>
      <c r="O205" s="18">
        <v>12.5</v>
      </c>
      <c r="P205" s="18">
        <v>12.124000000000001</v>
      </c>
      <c r="Q205" s="18">
        <v>11.811999999999999</v>
      </c>
      <c r="R205" s="18">
        <v>11.5</v>
      </c>
      <c r="S205" s="18">
        <v>11.188000000000001</v>
      </c>
      <c r="T205" s="18">
        <v>14</v>
      </c>
      <c r="U205" s="18">
        <f t="shared" si="18"/>
        <v>12</v>
      </c>
    </row>
    <row r="206" spans="2:21" x14ac:dyDescent="0.25">
      <c r="B206">
        <v>13</v>
      </c>
      <c r="C206" s="18">
        <v>160</v>
      </c>
      <c r="D206">
        <v>13</v>
      </c>
      <c r="E206" s="18">
        <f t="shared" si="17"/>
        <v>13</v>
      </c>
      <c r="F206" s="18">
        <v>16</v>
      </c>
      <c r="G206" s="18">
        <v>15.25</v>
      </c>
      <c r="H206" s="18">
        <v>15</v>
      </c>
      <c r="I206" s="18"/>
      <c r="J206" s="18">
        <v>15.5</v>
      </c>
      <c r="K206" s="18">
        <v>15.375999999999999</v>
      </c>
      <c r="L206" s="18">
        <v>15.25</v>
      </c>
      <c r="M206" s="17">
        <v>15</v>
      </c>
      <c r="N206" s="18">
        <v>14.688000000000001</v>
      </c>
      <c r="O206" s="18">
        <v>14.311999999999999</v>
      </c>
      <c r="P206" s="18">
        <v>13.938000000000001</v>
      </c>
      <c r="Q206" s="18">
        <v>13.561999999999999</v>
      </c>
      <c r="R206" s="18">
        <v>13.124000000000001</v>
      </c>
      <c r="S206" s="18">
        <v>12.811999999999999</v>
      </c>
      <c r="T206" s="18">
        <v>16</v>
      </c>
      <c r="U206" s="18">
        <f t="shared" si="18"/>
        <v>13</v>
      </c>
    </row>
    <row r="207" spans="2:21" x14ac:dyDescent="0.25">
      <c r="E207" s="18">
        <f t="shared" si="17"/>
        <v>14</v>
      </c>
      <c r="F207" s="18">
        <v>18</v>
      </c>
      <c r="G207" s="18">
        <v>17.25</v>
      </c>
      <c r="H207" s="18">
        <v>17</v>
      </c>
      <c r="I207" s="18"/>
      <c r="J207" s="18">
        <v>17.5</v>
      </c>
      <c r="K207" s="18">
        <v>17.376000000000001</v>
      </c>
      <c r="L207" s="18">
        <v>17.123999999999999</v>
      </c>
      <c r="M207" s="17">
        <v>16.876000000000001</v>
      </c>
      <c r="N207" s="18">
        <v>16.5</v>
      </c>
      <c r="O207" s="18">
        <v>16.123999999999999</v>
      </c>
      <c r="P207" s="18">
        <v>15.688000000000001</v>
      </c>
      <c r="Q207" s="18">
        <v>15.25</v>
      </c>
      <c r="R207" s="18">
        <v>14.875999999999999</v>
      </c>
      <c r="S207" s="18">
        <v>14.438000000000001</v>
      </c>
      <c r="T207" s="18">
        <v>18</v>
      </c>
      <c r="U207" s="18">
        <f t="shared" si="18"/>
        <v>14</v>
      </c>
    </row>
    <row r="208" spans="2:21" x14ac:dyDescent="0.25">
      <c r="E208" s="18">
        <f t="shared" si="17"/>
        <v>15</v>
      </c>
      <c r="F208" s="18">
        <v>20</v>
      </c>
      <c r="G208" s="18">
        <v>19.25</v>
      </c>
      <c r="H208" s="18">
        <v>19</v>
      </c>
      <c r="I208" s="18"/>
      <c r="J208" s="18">
        <v>19.5</v>
      </c>
      <c r="K208" s="18">
        <v>19.25</v>
      </c>
      <c r="L208" s="18">
        <v>19</v>
      </c>
      <c r="M208" s="17">
        <v>18.812000000000001</v>
      </c>
      <c r="N208" s="18">
        <v>18.376000000000001</v>
      </c>
      <c r="O208" s="18">
        <v>17.937999999999999</v>
      </c>
      <c r="P208" s="18">
        <v>17.437999999999999</v>
      </c>
      <c r="Q208" s="18">
        <v>17</v>
      </c>
      <c r="R208" s="18">
        <v>16.5</v>
      </c>
      <c r="S208" s="18">
        <v>16.062000000000001</v>
      </c>
      <c r="T208" s="18">
        <v>20</v>
      </c>
      <c r="U208" s="18">
        <f t="shared" si="18"/>
        <v>15</v>
      </c>
    </row>
    <row r="209" spans="5:21" x14ac:dyDescent="0.25">
      <c r="E209" s="18">
        <f t="shared" si="17"/>
        <v>16</v>
      </c>
      <c r="F209" s="18">
        <v>24</v>
      </c>
      <c r="G209" s="18">
        <v>23.25</v>
      </c>
      <c r="H209" s="18">
        <v>23</v>
      </c>
      <c r="I209" s="18"/>
      <c r="J209" s="18">
        <v>23.5</v>
      </c>
      <c r="K209" s="18">
        <v>23.25</v>
      </c>
      <c r="L209" s="18">
        <v>22.876000000000001</v>
      </c>
      <c r="M209" s="17">
        <v>22.623999999999999</v>
      </c>
      <c r="N209" s="18">
        <v>22.062000000000001</v>
      </c>
      <c r="O209" s="18">
        <v>21.562000000000001</v>
      </c>
      <c r="P209" s="18">
        <v>20.937999999999999</v>
      </c>
      <c r="Q209" s="18">
        <v>20.376000000000001</v>
      </c>
      <c r="R209" s="18">
        <v>19.876000000000001</v>
      </c>
      <c r="S209" s="18">
        <v>19.312000000000001</v>
      </c>
      <c r="T209" s="18">
        <v>24</v>
      </c>
      <c r="U209" s="18">
        <f t="shared" si="18"/>
        <v>16</v>
      </c>
    </row>
    <row r="210" spans="5:21" x14ac:dyDescent="0.25">
      <c r="E210" s="18">
        <f t="shared" si="17"/>
        <v>17</v>
      </c>
      <c r="F210" s="18">
        <v>26</v>
      </c>
      <c r="G210" s="18">
        <v>25.25</v>
      </c>
      <c r="H210" s="18">
        <v>25</v>
      </c>
      <c r="I210" s="18"/>
      <c r="J210" s="18">
        <v>25.376000000000001</v>
      </c>
      <c r="K210" s="18">
        <v>25</v>
      </c>
      <c r="L210" s="18"/>
      <c r="M210" s="17"/>
      <c r="N210" s="18"/>
      <c r="O210" s="18"/>
      <c r="P210" s="18"/>
      <c r="Q210" s="18"/>
      <c r="R210" s="18"/>
      <c r="S210" s="18"/>
      <c r="T210" s="18">
        <v>26</v>
      </c>
      <c r="U210" s="18">
        <f t="shared" si="18"/>
        <v>17</v>
      </c>
    </row>
    <row r="211" spans="5:21" x14ac:dyDescent="0.25">
      <c r="E211" s="18">
        <f t="shared" si="17"/>
        <v>18</v>
      </c>
      <c r="F211" s="18">
        <v>28</v>
      </c>
      <c r="G211" s="18">
        <v>27.25</v>
      </c>
      <c r="H211" s="18">
        <v>27</v>
      </c>
      <c r="I211" s="18"/>
      <c r="J211" s="18">
        <v>27.376000000000001</v>
      </c>
      <c r="K211" s="18">
        <v>27</v>
      </c>
      <c r="L211" s="18">
        <v>26.75</v>
      </c>
      <c r="M211" s="17"/>
      <c r="N211" s="18"/>
      <c r="O211" s="18"/>
      <c r="P211" s="18"/>
      <c r="Q211" s="18"/>
      <c r="R211" s="18"/>
      <c r="S211" s="18"/>
      <c r="T211" s="18">
        <v>28</v>
      </c>
      <c r="U211" s="18">
        <f t="shared" si="18"/>
        <v>18</v>
      </c>
    </row>
    <row r="212" spans="5:21" x14ac:dyDescent="0.25">
      <c r="E212" s="18">
        <f t="shared" si="17"/>
        <v>19</v>
      </c>
      <c r="F212" s="18">
        <v>30</v>
      </c>
      <c r="G212" s="18">
        <v>29.25</v>
      </c>
      <c r="H212" s="18">
        <v>29</v>
      </c>
      <c r="I212" s="18"/>
      <c r="J212" s="18">
        <v>29.376000000000001</v>
      </c>
      <c r="K212" s="18">
        <v>29</v>
      </c>
      <c r="L212" s="18">
        <v>28.75</v>
      </c>
      <c r="M212" s="17"/>
      <c r="N212" s="18"/>
      <c r="O212" s="18"/>
      <c r="P212" s="18"/>
      <c r="Q212" s="18"/>
      <c r="R212" s="18"/>
      <c r="S212" s="18"/>
      <c r="T212" s="18">
        <v>30</v>
      </c>
      <c r="U212" s="18">
        <f t="shared" si="18"/>
        <v>19</v>
      </c>
    </row>
    <row r="213" spans="5:21" x14ac:dyDescent="0.25">
      <c r="E213" s="18">
        <f t="shared" si="17"/>
        <v>20</v>
      </c>
      <c r="F213" s="18">
        <v>32</v>
      </c>
      <c r="G213" s="18">
        <v>31.25</v>
      </c>
      <c r="H213" s="18">
        <v>31</v>
      </c>
      <c r="I213" s="18"/>
      <c r="J213" s="18">
        <v>31.376000000000001</v>
      </c>
      <c r="K213" s="18">
        <v>31</v>
      </c>
      <c r="L213" s="18">
        <v>30.75</v>
      </c>
      <c r="M213" s="17">
        <v>30.623999999999999</v>
      </c>
      <c r="N213" s="18"/>
      <c r="O213" s="18"/>
      <c r="P213" s="18"/>
      <c r="Q213" s="18"/>
      <c r="R213" s="18"/>
      <c r="S213" s="18"/>
      <c r="T213" s="18">
        <v>32</v>
      </c>
      <c r="U213" s="18">
        <f t="shared" si="18"/>
        <v>20</v>
      </c>
    </row>
    <row r="214" spans="5:21" x14ac:dyDescent="0.25">
      <c r="E214" s="18">
        <f t="shared" si="17"/>
        <v>21</v>
      </c>
      <c r="F214" s="18">
        <v>34</v>
      </c>
      <c r="G214" s="18">
        <v>33.25</v>
      </c>
      <c r="H214" s="18">
        <v>33</v>
      </c>
      <c r="I214" s="18"/>
      <c r="J214" s="18">
        <v>33.311999999999998</v>
      </c>
      <c r="K214" s="18">
        <v>33</v>
      </c>
      <c r="L214" s="18">
        <v>32.75</v>
      </c>
      <c r="M214" s="17">
        <v>32.624000000000002</v>
      </c>
      <c r="N214" s="18"/>
      <c r="O214" s="18"/>
      <c r="P214" s="18"/>
      <c r="Q214" s="18"/>
      <c r="R214" s="18"/>
      <c r="S214" s="18"/>
      <c r="T214" s="18">
        <v>34</v>
      </c>
      <c r="U214" s="18">
        <f t="shared" si="18"/>
        <v>21</v>
      </c>
    </row>
    <row r="215" spans="5:21" x14ac:dyDescent="0.25">
      <c r="E215" s="18">
        <f t="shared" si="17"/>
        <v>22</v>
      </c>
      <c r="F215" s="18">
        <v>36</v>
      </c>
      <c r="G215" s="18">
        <v>35.25</v>
      </c>
      <c r="H215" s="18">
        <v>35</v>
      </c>
      <c r="I215" s="18"/>
      <c r="J215" s="18">
        <v>35.375999999999998</v>
      </c>
      <c r="K215" s="18">
        <v>35</v>
      </c>
      <c r="L215" s="18">
        <v>34.75</v>
      </c>
      <c r="M215" s="17">
        <v>34.5</v>
      </c>
      <c r="N215" s="18"/>
      <c r="O215" s="18"/>
      <c r="P215" s="18"/>
      <c r="Q215" s="18"/>
      <c r="R215" s="18"/>
      <c r="S215" s="18"/>
      <c r="T215" s="18">
        <v>36</v>
      </c>
      <c r="U215" s="18">
        <f t="shared" si="18"/>
        <v>22</v>
      </c>
    </row>
    <row r="216" spans="5:21" x14ac:dyDescent="0.25">
      <c r="E216" s="18">
        <f t="shared" si="17"/>
        <v>23</v>
      </c>
      <c r="F216" s="18">
        <v>38</v>
      </c>
      <c r="G216" s="18">
        <v>37.25</v>
      </c>
      <c r="H216" s="18">
        <v>37</v>
      </c>
      <c r="I216" s="18"/>
      <c r="J216" s="18"/>
      <c r="K216" s="18"/>
      <c r="L216" s="18"/>
      <c r="M216" s="17"/>
      <c r="N216" s="18"/>
      <c r="O216" s="18"/>
      <c r="P216" s="18"/>
      <c r="Q216" s="18"/>
      <c r="R216" s="18"/>
      <c r="S216" s="18"/>
      <c r="T216" s="18">
        <v>38</v>
      </c>
      <c r="U216" s="18">
        <f t="shared" si="18"/>
        <v>23</v>
      </c>
    </row>
    <row r="217" spans="5:21" x14ac:dyDescent="0.25">
      <c r="E217" s="18">
        <f t="shared" si="17"/>
        <v>24</v>
      </c>
      <c r="F217" s="18">
        <v>40</v>
      </c>
      <c r="G217" s="18">
        <v>39.25</v>
      </c>
      <c r="H217" s="18">
        <v>39</v>
      </c>
      <c r="I217" s="18"/>
      <c r="J217" s="18"/>
      <c r="K217" s="18"/>
      <c r="L217" s="18"/>
      <c r="M217" s="17"/>
      <c r="N217" s="18"/>
      <c r="O217" s="18"/>
      <c r="P217" s="18"/>
      <c r="Q217" s="18"/>
      <c r="R217" s="18"/>
      <c r="S217" s="18"/>
      <c r="T217" s="18">
        <v>40</v>
      </c>
      <c r="U217" s="18">
        <f t="shared" si="18"/>
        <v>24</v>
      </c>
    </row>
    <row r="218" spans="5:21" x14ac:dyDescent="0.25">
      <c r="E218" s="18">
        <f t="shared" si="17"/>
        <v>25</v>
      </c>
      <c r="F218" s="18">
        <v>42</v>
      </c>
      <c r="G218" s="18">
        <v>41.25</v>
      </c>
      <c r="H218" s="18">
        <v>41</v>
      </c>
      <c r="I218" s="18"/>
      <c r="J218" s="18"/>
      <c r="K218" s="18"/>
      <c r="L218" s="18"/>
      <c r="M218" s="17"/>
      <c r="N218" s="18"/>
      <c r="O218" s="18"/>
      <c r="P218" s="18"/>
      <c r="Q218" s="18"/>
      <c r="R218" s="18"/>
      <c r="S218" s="18"/>
      <c r="T218" s="18">
        <v>42</v>
      </c>
      <c r="U218" s="18">
        <f t="shared" si="18"/>
        <v>25</v>
      </c>
    </row>
    <row r="219" spans="5:21" x14ac:dyDescent="0.25">
      <c r="E219" s="18">
        <f t="shared" si="17"/>
        <v>26</v>
      </c>
      <c r="F219" s="18">
        <v>44</v>
      </c>
      <c r="G219" s="18">
        <v>43.25</v>
      </c>
      <c r="H219" s="18">
        <v>43</v>
      </c>
      <c r="I219" s="18"/>
      <c r="J219" s="18"/>
      <c r="K219" s="18"/>
      <c r="L219" s="18"/>
      <c r="M219" s="17"/>
      <c r="N219" s="18"/>
      <c r="O219" s="18"/>
      <c r="P219" s="18"/>
      <c r="Q219" s="18"/>
      <c r="R219" s="18"/>
      <c r="S219" s="18"/>
      <c r="T219" s="18">
        <v>44</v>
      </c>
      <c r="U219" s="18">
        <f t="shared" si="18"/>
        <v>26</v>
      </c>
    </row>
    <row r="220" spans="5:21" x14ac:dyDescent="0.25">
      <c r="E220" s="18">
        <f t="shared" si="17"/>
        <v>27</v>
      </c>
      <c r="F220" s="18">
        <v>46</v>
      </c>
      <c r="G220" s="18">
        <v>45.25</v>
      </c>
      <c r="H220" s="18">
        <v>45</v>
      </c>
      <c r="I220" s="18"/>
      <c r="J220" s="18"/>
      <c r="K220" s="18"/>
      <c r="L220" s="18"/>
      <c r="M220" s="17"/>
      <c r="N220" s="18"/>
      <c r="O220" s="18"/>
      <c r="P220" s="18"/>
      <c r="Q220" s="18"/>
      <c r="R220" s="18"/>
      <c r="S220" s="18"/>
      <c r="T220" s="18">
        <v>46</v>
      </c>
      <c r="U220" s="18">
        <f t="shared" si="18"/>
        <v>27</v>
      </c>
    </row>
    <row r="221" spans="5:21" x14ac:dyDescent="0.25">
      <c r="E221" s="18">
        <f t="shared" si="17"/>
        <v>28</v>
      </c>
      <c r="F221" s="18">
        <v>48</v>
      </c>
      <c r="G221" s="18">
        <v>47.25</v>
      </c>
      <c r="H221" s="18">
        <v>47</v>
      </c>
      <c r="I221" s="18"/>
      <c r="J221" s="18"/>
      <c r="K221" s="18"/>
      <c r="L221" s="18"/>
      <c r="M221" s="17"/>
      <c r="N221" s="18"/>
      <c r="O221" s="18"/>
      <c r="P221" s="18"/>
      <c r="Q221" s="18"/>
      <c r="R221" s="18"/>
      <c r="S221" s="18"/>
      <c r="T221" s="18">
        <v>48</v>
      </c>
      <c r="U221" s="18">
        <f t="shared" si="18"/>
        <v>28</v>
      </c>
    </row>
    <row r="222" spans="5:21" x14ac:dyDescent="0.25">
      <c r="E222" s="18">
        <f t="shared" si="17"/>
        <v>29</v>
      </c>
      <c r="F222" s="18">
        <v>50</v>
      </c>
      <c r="G222" s="18">
        <v>49.25</v>
      </c>
      <c r="H222" s="18">
        <v>49</v>
      </c>
      <c r="I222" s="18"/>
      <c r="J222" s="18"/>
      <c r="K222" s="18"/>
      <c r="L222" s="18"/>
      <c r="M222" s="17"/>
      <c r="N222" s="18"/>
      <c r="O222" s="18"/>
      <c r="P222" s="18"/>
      <c r="Q222" s="18"/>
      <c r="R222" s="18"/>
      <c r="S222" s="18"/>
      <c r="T222" s="18">
        <v>50</v>
      </c>
      <c r="U222" s="18">
        <f t="shared" si="18"/>
        <v>29</v>
      </c>
    </row>
    <row r="223" spans="5:21" x14ac:dyDescent="0.25">
      <c r="E223" s="18">
        <f t="shared" si="17"/>
        <v>30</v>
      </c>
      <c r="F223" s="18">
        <v>52</v>
      </c>
      <c r="G223" s="18">
        <v>51.25</v>
      </c>
      <c r="H223" s="18">
        <v>51</v>
      </c>
      <c r="I223" s="18"/>
      <c r="J223" s="18"/>
      <c r="K223" s="18"/>
      <c r="L223" s="18"/>
      <c r="M223" s="17"/>
      <c r="N223" s="18"/>
      <c r="O223" s="18"/>
      <c r="P223" s="18"/>
      <c r="Q223" s="18"/>
      <c r="R223" s="18"/>
      <c r="S223" s="18"/>
      <c r="T223" s="18">
        <v>52</v>
      </c>
      <c r="U223" s="18">
        <f t="shared" si="18"/>
        <v>30</v>
      </c>
    </row>
    <row r="224" spans="5:21" x14ac:dyDescent="0.25">
      <c r="E224" s="18">
        <f t="shared" si="17"/>
        <v>31</v>
      </c>
      <c r="F224" s="18">
        <v>54</v>
      </c>
      <c r="G224" s="18">
        <v>53.25</v>
      </c>
      <c r="H224" s="18">
        <v>53</v>
      </c>
      <c r="I224" s="18"/>
      <c r="J224" s="18"/>
      <c r="K224" s="18"/>
      <c r="L224" s="18"/>
      <c r="M224" s="17"/>
      <c r="N224" s="18"/>
      <c r="O224" s="18"/>
      <c r="P224" s="18"/>
      <c r="Q224" s="18"/>
      <c r="R224" s="18"/>
      <c r="S224" s="18"/>
      <c r="T224" s="18">
        <v>54</v>
      </c>
      <c r="U224" s="18">
        <f t="shared" si="18"/>
        <v>31</v>
      </c>
    </row>
    <row r="225" spans="5:21" x14ac:dyDescent="0.25">
      <c r="E225" s="18">
        <f t="shared" si="17"/>
        <v>32</v>
      </c>
      <c r="F225" s="18">
        <v>56</v>
      </c>
      <c r="G225" s="18">
        <v>55.25</v>
      </c>
      <c r="H225" s="18">
        <v>55</v>
      </c>
      <c r="I225" s="18"/>
      <c r="J225" s="18"/>
      <c r="K225" s="18"/>
      <c r="L225" s="18"/>
      <c r="M225" s="17"/>
      <c r="N225" s="18"/>
      <c r="O225" s="18"/>
      <c r="P225" s="18"/>
      <c r="Q225" s="18"/>
      <c r="R225" s="18"/>
      <c r="S225" s="18"/>
      <c r="T225" s="18">
        <v>56</v>
      </c>
      <c r="U225" s="18">
        <f t="shared" si="18"/>
        <v>32</v>
      </c>
    </row>
    <row r="226" spans="5:21" x14ac:dyDescent="0.25">
      <c r="E226" s="18">
        <f t="shared" si="17"/>
        <v>33</v>
      </c>
      <c r="F226" s="18">
        <v>58</v>
      </c>
      <c r="G226" s="18">
        <v>57.25</v>
      </c>
      <c r="H226" s="18">
        <v>57</v>
      </c>
      <c r="I226" s="18"/>
      <c r="J226" s="18"/>
      <c r="K226" s="18"/>
      <c r="L226" s="18"/>
      <c r="M226" s="17"/>
      <c r="N226" s="18"/>
      <c r="O226" s="18"/>
      <c r="P226" s="18"/>
      <c r="Q226" s="18"/>
      <c r="R226" s="18"/>
      <c r="S226" s="18"/>
      <c r="T226" s="18">
        <v>58</v>
      </c>
      <c r="U226" s="18">
        <f t="shared" si="18"/>
        <v>33</v>
      </c>
    </row>
    <row r="227" spans="5:21" x14ac:dyDescent="0.25">
      <c r="E227" s="18">
        <f>1+E226</f>
        <v>34</v>
      </c>
      <c r="F227" s="18">
        <v>60</v>
      </c>
      <c r="G227" s="18">
        <v>59.25</v>
      </c>
      <c r="H227" s="18">
        <v>59</v>
      </c>
      <c r="I227" s="18">
        <v>58</v>
      </c>
      <c r="J227" s="18"/>
      <c r="K227" s="18"/>
      <c r="L227" s="18"/>
      <c r="M227" s="17"/>
      <c r="N227" s="18"/>
      <c r="O227" s="18"/>
      <c r="P227" s="18"/>
      <c r="Q227" s="18"/>
      <c r="R227" s="18"/>
      <c r="S227" s="18"/>
      <c r="T227" s="18">
        <v>60</v>
      </c>
      <c r="U227" s="18">
        <f>1+U226</f>
        <v>34</v>
      </c>
    </row>
    <row r="228" spans="5:21" x14ac:dyDescent="0.25">
      <c r="E228" s="18">
        <f t="shared" ref="E228:E237" si="19">1+E227</f>
        <v>35</v>
      </c>
      <c r="F228" s="18">
        <v>66</v>
      </c>
      <c r="G228" s="18">
        <v>65.25</v>
      </c>
      <c r="H228" s="18">
        <v>65</v>
      </c>
      <c r="I228" s="18">
        <v>64</v>
      </c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>
        <v>66</v>
      </c>
      <c r="U228" s="18">
        <f t="shared" ref="U228:U237" si="20">1+U227</f>
        <v>35</v>
      </c>
    </row>
    <row r="229" spans="5:21" x14ac:dyDescent="0.25">
      <c r="E229" s="18">
        <f t="shared" si="19"/>
        <v>36</v>
      </c>
      <c r="F229" s="18">
        <v>72</v>
      </c>
      <c r="G229" s="18">
        <v>71.25</v>
      </c>
      <c r="H229" s="18">
        <v>71</v>
      </c>
      <c r="I229" s="18">
        <v>70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v>72</v>
      </c>
      <c r="U229" s="18">
        <f t="shared" si="20"/>
        <v>36</v>
      </c>
    </row>
    <row r="230" spans="5:21" x14ac:dyDescent="0.25">
      <c r="E230" s="18">
        <f t="shared" si="19"/>
        <v>37</v>
      </c>
      <c r="F230" s="18">
        <v>78</v>
      </c>
      <c r="G230" s="18">
        <v>77.25</v>
      </c>
      <c r="H230" s="18">
        <v>77</v>
      </c>
      <c r="I230" s="18">
        <v>76</v>
      </c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>
        <v>78</v>
      </c>
      <c r="U230" s="18">
        <f t="shared" si="20"/>
        <v>37</v>
      </c>
    </row>
    <row r="231" spans="5:21" x14ac:dyDescent="0.25">
      <c r="E231" s="18">
        <f t="shared" si="19"/>
        <v>38</v>
      </c>
      <c r="F231" s="18">
        <v>84</v>
      </c>
      <c r="G231" s="18">
        <v>83.25</v>
      </c>
      <c r="H231" s="18">
        <v>83</v>
      </c>
      <c r="I231" s="18">
        <v>82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>
        <v>84</v>
      </c>
      <c r="U231" s="18">
        <f t="shared" si="20"/>
        <v>38</v>
      </c>
    </row>
    <row r="232" spans="5:21" x14ac:dyDescent="0.25">
      <c r="E232" s="18">
        <f t="shared" si="19"/>
        <v>39</v>
      </c>
      <c r="F232" s="18">
        <v>90</v>
      </c>
      <c r="G232" s="18">
        <v>89.25</v>
      </c>
      <c r="H232" s="18">
        <v>89</v>
      </c>
      <c r="I232" s="18">
        <v>88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>
        <v>90</v>
      </c>
      <c r="U232" s="18">
        <f t="shared" si="20"/>
        <v>39</v>
      </c>
    </row>
    <row r="233" spans="5:21" x14ac:dyDescent="0.25">
      <c r="E233" s="18">
        <f t="shared" si="19"/>
        <v>40</v>
      </c>
      <c r="F233" s="18">
        <v>96</v>
      </c>
      <c r="G233" s="18">
        <v>95.25</v>
      </c>
      <c r="H233" s="18">
        <v>95</v>
      </c>
      <c r="I233" s="18">
        <v>94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>
        <v>96</v>
      </c>
      <c r="U233" s="18">
        <f t="shared" si="20"/>
        <v>40</v>
      </c>
    </row>
    <row r="234" spans="5:21" x14ac:dyDescent="0.25">
      <c r="E234" s="18">
        <f t="shared" si="19"/>
        <v>41</v>
      </c>
      <c r="F234" s="18">
        <v>102</v>
      </c>
      <c r="G234" s="18">
        <v>101.25</v>
      </c>
      <c r="H234" s="18">
        <v>101</v>
      </c>
      <c r="I234" s="18">
        <v>100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>
        <v>102</v>
      </c>
      <c r="U234" s="18">
        <f t="shared" si="20"/>
        <v>41</v>
      </c>
    </row>
    <row r="235" spans="5:21" x14ac:dyDescent="0.25">
      <c r="E235" s="18">
        <f t="shared" si="19"/>
        <v>42</v>
      </c>
      <c r="F235" s="18">
        <v>108</v>
      </c>
      <c r="G235" s="18">
        <v>107.25</v>
      </c>
      <c r="H235" s="18">
        <v>107</v>
      </c>
      <c r="I235" s="18">
        <v>106</v>
      </c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>
        <v>108</v>
      </c>
      <c r="U235" s="18">
        <f t="shared" si="20"/>
        <v>42</v>
      </c>
    </row>
    <row r="236" spans="5:21" x14ac:dyDescent="0.25">
      <c r="E236" s="18">
        <f t="shared" si="19"/>
        <v>43</v>
      </c>
      <c r="F236" s="18">
        <v>114</v>
      </c>
      <c r="G236" s="18">
        <v>113.25</v>
      </c>
      <c r="H236" s="18">
        <v>113</v>
      </c>
      <c r="I236" s="18">
        <v>112</v>
      </c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>
        <v>114</v>
      </c>
      <c r="U236" s="18">
        <f t="shared" si="20"/>
        <v>43</v>
      </c>
    </row>
    <row r="237" spans="5:21" x14ac:dyDescent="0.25">
      <c r="E237" s="18">
        <f t="shared" si="19"/>
        <v>44</v>
      </c>
      <c r="F237" s="18">
        <v>120</v>
      </c>
      <c r="G237" s="18">
        <v>119.25</v>
      </c>
      <c r="H237" s="18">
        <v>119</v>
      </c>
      <c r="I237" s="18">
        <v>118</v>
      </c>
      <c r="J237" s="18"/>
      <c r="K237" s="18"/>
      <c r="L237" s="18"/>
      <c r="M237" s="17"/>
      <c r="N237" s="18"/>
      <c r="O237" s="18"/>
      <c r="P237" s="18"/>
      <c r="Q237" s="18"/>
      <c r="R237" s="18"/>
      <c r="S237" s="18"/>
      <c r="T237" s="18">
        <v>120</v>
      </c>
      <c r="U237" s="18">
        <f t="shared" si="20"/>
        <v>44</v>
      </c>
    </row>
  </sheetData>
  <mergeCells count="2">
    <mergeCell ref="B2:J2"/>
    <mergeCell ref="C3:I3"/>
  </mergeCells>
  <dataValidations count="3">
    <dataValidation type="list" allowBlank="1" showInputMessage="1" showErrorMessage="1" sqref="I10">
      <formula1>$F$194:$F$237</formula1>
    </dataValidation>
    <dataValidation type="list" allowBlank="1" showInputMessage="1" showErrorMessage="1" sqref="I11">
      <formula1>$C$194:$C$206</formula1>
    </dataValidation>
    <dataValidation type="list" allowBlank="1" showInputMessage="1" showErrorMessage="1" sqref="F132">
      <formula1>$M$133:$M$137</formula1>
    </dataValidation>
  </dataValidations>
  <hyperlinks>
    <hyperlink ref="B4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Footer>&amp;CPage &amp;P of &amp;N</oddFooter>
  </headerFooter>
  <rowBreaks count="4" manualBreakCount="4">
    <brk id="37" max="10" man="1"/>
    <brk id="71" max="10" man="1"/>
    <brk id="110" max="10" man="1"/>
    <brk id="149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Pipe</vt:lpstr>
      <vt:lpstr>Pipe!Print_Area</vt:lpstr>
      <vt:lpstr>Pipe!Print_Titles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</dc:creator>
  <cp:lastModifiedBy>Aarav</cp:lastModifiedBy>
  <cp:lastPrinted>2015-07-05T06:36:09Z</cp:lastPrinted>
  <dcterms:created xsi:type="dcterms:W3CDTF">2015-05-27T16:02:03Z</dcterms:created>
  <dcterms:modified xsi:type="dcterms:W3CDTF">2015-09-02T04:22:54Z</dcterms:modified>
</cp:coreProperties>
</file>