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20115" windowHeight="7425" activeTab="1"/>
  </bookViews>
  <sheets>
    <sheet name="English" sheetId="1" r:id="rId1"/>
    <sheet name="Metric" sheetId="4" r:id="rId2"/>
  </sheets>
  <calcPr calcId="145621"/>
</workbook>
</file>

<file path=xl/calcChain.xml><?xml version="1.0" encoding="utf-8"?>
<calcChain xmlns="http://schemas.openxmlformats.org/spreadsheetml/2006/main">
  <c r="K29" i="4" l="1"/>
  <c r="K23" i="4"/>
  <c r="K17" i="4"/>
  <c r="C47" i="4" l="1"/>
  <c r="C47" i="1"/>
  <c r="O7" i="4" l="1"/>
  <c r="K7" i="4"/>
  <c r="C44" i="4" l="1"/>
  <c r="C10" i="4"/>
  <c r="C9" i="4"/>
  <c r="K3" i="4" l="1"/>
  <c r="K10" i="4" l="1"/>
  <c r="O8" i="4"/>
  <c r="K8" i="4"/>
  <c r="C45" i="4" s="1"/>
  <c r="C21" i="1"/>
  <c r="C23" i="1"/>
  <c r="O9" i="4"/>
  <c r="K9" i="4"/>
  <c r="K18" i="4" s="1"/>
  <c r="O18" i="4"/>
  <c r="K4" i="4"/>
  <c r="K13" i="4" s="1"/>
  <c r="K12" i="4"/>
  <c r="O19" i="4" l="1"/>
  <c r="C37" i="4" s="1"/>
  <c r="K41" i="4"/>
  <c r="K44" i="4" s="1"/>
  <c r="O41" i="4"/>
  <c r="O43" i="4" s="1"/>
  <c r="K16" i="4"/>
  <c r="C20" i="4" s="1"/>
  <c r="K30" i="4"/>
  <c r="C46" i="4"/>
  <c r="O14" i="4"/>
  <c r="O15" i="4" s="1"/>
  <c r="O23" i="4"/>
  <c r="K19" i="4"/>
  <c r="O17" i="4"/>
  <c r="K14" i="4"/>
  <c r="K15" i="4" s="1"/>
  <c r="O44" i="4" l="1"/>
  <c r="O45" i="4" s="1"/>
  <c r="K57" i="4"/>
  <c r="K31" i="4"/>
  <c r="K32" i="4" s="1"/>
  <c r="K42" i="4"/>
  <c r="K46" i="4" s="1"/>
  <c r="K47" i="4" s="1"/>
  <c r="K43" i="4"/>
  <c r="K45" i="4" s="1"/>
  <c r="O42" i="4"/>
  <c r="C19" i="4"/>
  <c r="K25" i="4"/>
  <c r="K26" i="4" s="1"/>
  <c r="O16" i="4"/>
  <c r="C38" i="4" s="1"/>
  <c r="C41" i="4" s="1"/>
  <c r="K24" i="4"/>
  <c r="O31" i="4"/>
  <c r="O30" i="4"/>
  <c r="O24" i="4"/>
  <c r="O29" i="4"/>
  <c r="O25" i="4"/>
  <c r="O26" i="4" s="1"/>
  <c r="C21" i="4" l="1"/>
  <c r="K36" i="4"/>
  <c r="O32" i="4"/>
  <c r="O33" i="4" s="1"/>
  <c r="O34" i="4" s="1"/>
  <c r="K33" i="4"/>
  <c r="K34" i="4" s="1"/>
  <c r="O46" i="4"/>
  <c r="O47" i="4" s="1"/>
  <c r="C26" i="4" s="1"/>
  <c r="K55" i="4" s="1"/>
  <c r="C22" i="4"/>
  <c r="C23" i="4" s="1"/>
  <c r="G19" i="4" l="1"/>
  <c r="K37" i="4" s="1"/>
  <c r="G20" i="4"/>
  <c r="G22" i="4" s="1"/>
  <c r="G23" i="4" s="1"/>
  <c r="K50" i="4"/>
  <c r="K51" i="4"/>
  <c r="O55" i="4"/>
  <c r="C28" i="4" s="1"/>
  <c r="O59" i="4" s="1"/>
  <c r="K54" i="4"/>
  <c r="O51" i="4"/>
  <c r="O54" i="4"/>
  <c r="O50" i="4"/>
  <c r="N32" i="1"/>
  <c r="N35" i="1" s="1"/>
  <c r="K32" i="1"/>
  <c r="N9" i="1"/>
  <c r="K14" i="1" s="1"/>
  <c r="K38" i="4" l="1"/>
  <c r="C27" i="4"/>
  <c r="K59" i="4" s="1"/>
  <c r="N33" i="1"/>
  <c r="K48" i="1"/>
  <c r="K35" i="1"/>
  <c r="K22" i="1"/>
  <c r="K20" i="1"/>
  <c r="K33" i="1"/>
  <c r="K37" i="1" s="1"/>
  <c r="K10" i="1"/>
  <c r="C42" i="4" l="1"/>
  <c r="C29" i="4"/>
  <c r="C45" i="1"/>
  <c r="C46" i="1" s="1"/>
  <c r="C44" i="1"/>
  <c r="K16" i="1" l="1"/>
  <c r="K15" i="1"/>
  <c r="N14" i="1"/>
  <c r="N20" i="1" s="1"/>
  <c r="N10" i="1"/>
  <c r="C37" i="1" s="1"/>
  <c r="K9" i="1"/>
  <c r="K4" i="1"/>
  <c r="K3" i="1"/>
  <c r="K7" i="1" s="1"/>
  <c r="N7" i="1" s="1"/>
  <c r="K5" i="1" l="1"/>
  <c r="K6" i="1" s="1"/>
  <c r="N15" i="1"/>
  <c r="C20" i="1"/>
  <c r="N8" i="1"/>
  <c r="N34" i="1"/>
  <c r="N36" i="1" s="1"/>
  <c r="N37" i="1" s="1"/>
  <c r="K34" i="1"/>
  <c r="K36" i="1" s="1"/>
  <c r="K21" i="1"/>
  <c r="K23" i="1" s="1"/>
  <c r="K24" i="1" s="1"/>
  <c r="K25" i="1" s="1"/>
  <c r="K8" i="1"/>
  <c r="K38" i="1" s="1"/>
  <c r="N5" i="1"/>
  <c r="N6" i="1" s="1"/>
  <c r="C38" i="1"/>
  <c r="C41" i="1" s="1"/>
  <c r="K27" i="1"/>
  <c r="K17" i="1"/>
  <c r="N22" i="1"/>
  <c r="N21" i="1"/>
  <c r="N16" i="1"/>
  <c r="N17" i="1" s="1"/>
  <c r="C19" i="1"/>
  <c r="N38" i="1" l="1"/>
  <c r="C26" i="1" s="1"/>
  <c r="K45" i="1" s="1"/>
  <c r="N23" i="1"/>
  <c r="N24" i="1" s="1"/>
  <c r="N25" i="1" s="1"/>
  <c r="G19" i="1" s="1"/>
  <c r="C22" i="1"/>
  <c r="N41" i="1" l="1"/>
  <c r="N42" i="1"/>
  <c r="N45" i="1"/>
  <c r="C27" i="1" s="1"/>
  <c r="K50" i="1" s="1"/>
  <c r="K41" i="1"/>
  <c r="N46" i="1"/>
  <c r="K42" i="1"/>
  <c r="K46" i="1"/>
  <c r="K29" i="1"/>
  <c r="K28" i="1"/>
  <c r="G20" i="1"/>
  <c r="G22" i="1" s="1"/>
  <c r="G23" i="1" s="1"/>
  <c r="C28" i="1" l="1"/>
  <c r="N50" i="1" s="1"/>
  <c r="C29" i="1" s="1"/>
  <c r="C42" i="1" s="1"/>
</calcChain>
</file>

<file path=xl/sharedStrings.xml><?xml version="1.0" encoding="utf-8"?>
<sst xmlns="http://schemas.openxmlformats.org/spreadsheetml/2006/main" count="327" uniqueCount="102">
  <si>
    <t>User Input Cell</t>
  </si>
  <si>
    <t>Pipe Data</t>
  </si>
  <si>
    <t>Pipe Inner Diameter</t>
  </si>
  <si>
    <t>inch</t>
  </si>
  <si>
    <t>Pipe Roughness</t>
  </si>
  <si>
    <t>Flowrate</t>
  </si>
  <si>
    <t>lb/h</t>
  </si>
  <si>
    <t>Viscosity</t>
  </si>
  <si>
    <t>cP</t>
  </si>
  <si>
    <t>Density</t>
  </si>
  <si>
    <t>lb/ft3</t>
  </si>
  <si>
    <t>Tag No.</t>
  </si>
  <si>
    <t>P-101</t>
  </si>
  <si>
    <t>Date</t>
  </si>
  <si>
    <t>By</t>
  </si>
  <si>
    <t>Liquid</t>
  </si>
  <si>
    <t>Surface Tension</t>
  </si>
  <si>
    <t>dynes/cm</t>
  </si>
  <si>
    <t>Gas</t>
  </si>
  <si>
    <t>P-100314</t>
  </si>
  <si>
    <t>ft2</t>
  </si>
  <si>
    <t>Liq_Velocity</t>
  </si>
  <si>
    <t>EpD</t>
  </si>
  <si>
    <t>PipeArea</t>
  </si>
  <si>
    <t>ft/s</t>
  </si>
  <si>
    <t>Gas_Velocity</t>
  </si>
  <si>
    <t>Liq_Re</t>
  </si>
  <si>
    <t>Gas_Re</t>
  </si>
  <si>
    <t>Mass Flux</t>
  </si>
  <si>
    <t>Met Mass Flux</t>
  </si>
  <si>
    <t>LiqMassFlux</t>
  </si>
  <si>
    <t>VapMassFlux</t>
  </si>
  <si>
    <t>NoSlip</t>
  </si>
  <si>
    <t>TotalMass</t>
  </si>
  <si>
    <t>X</t>
  </si>
  <si>
    <t>VisRatio</t>
  </si>
  <si>
    <t>Friedel's Method</t>
  </si>
  <si>
    <t>Froude Number</t>
  </si>
  <si>
    <t>Weber Number</t>
  </si>
  <si>
    <t>GC</t>
  </si>
  <si>
    <t>Friedel</t>
  </si>
  <si>
    <t>ReyNoVap</t>
  </si>
  <si>
    <t>ReyNoLiq</t>
  </si>
  <si>
    <t>E</t>
  </si>
  <si>
    <t>Phi_lo</t>
  </si>
  <si>
    <t>DP</t>
  </si>
  <si>
    <t>psi/100 ft</t>
  </si>
  <si>
    <t>f_Vapor</t>
  </si>
  <si>
    <t>f_Liquid</t>
  </si>
  <si>
    <t>f_1</t>
  </si>
  <si>
    <t>f_2</t>
  </si>
  <si>
    <t>Chisolm - Barcozy</t>
  </si>
  <si>
    <t>A</t>
  </si>
  <si>
    <t>B</t>
  </si>
  <si>
    <t>Chisolm Baroczy Method</t>
  </si>
  <si>
    <t>DP/L (Liquid)</t>
  </si>
  <si>
    <t>DP/L (Vapor)</t>
  </si>
  <si>
    <t>Y</t>
  </si>
  <si>
    <t>B1</t>
  </si>
  <si>
    <t>B2</t>
  </si>
  <si>
    <t>B3</t>
  </si>
  <si>
    <t>n</t>
  </si>
  <si>
    <t>Lockhart Martinelli</t>
  </si>
  <si>
    <t>Lockhart Martinelli Method</t>
  </si>
  <si>
    <t>Turbulent - Turbulent</t>
  </si>
  <si>
    <t>PhiL</t>
  </si>
  <si>
    <t>PhiV</t>
  </si>
  <si>
    <t>Turbulent - Laminar</t>
  </si>
  <si>
    <t>Laminar - Turbulent</t>
  </si>
  <si>
    <t>Laminar - Laminar</t>
  </si>
  <si>
    <t>Regime</t>
  </si>
  <si>
    <t>DPL1</t>
  </si>
  <si>
    <t>DPV1</t>
  </si>
  <si>
    <t>Visc (L)/ Visc (G)</t>
  </si>
  <si>
    <t>Correlation</t>
  </si>
  <si>
    <t>Chisholm - Baroczy</t>
  </si>
  <si>
    <t>Lockhart - Martinelli</t>
  </si>
  <si>
    <t>&lt; 1000</t>
  </si>
  <si>
    <t>&gt; 1000</t>
  </si>
  <si>
    <t>Mass Flux (kg/m2.s)</t>
  </si>
  <si>
    <t>All</t>
  </si>
  <si>
    <t>&gt; 100</t>
  </si>
  <si>
    <t>&lt; 100</t>
  </si>
  <si>
    <t>Result</t>
  </si>
  <si>
    <t>Correlation Selected</t>
  </si>
  <si>
    <t>Reynold's No</t>
  </si>
  <si>
    <t>Velocity</t>
  </si>
  <si>
    <t>Mixture Data</t>
  </si>
  <si>
    <t>Correlation Selection Criterion</t>
  </si>
  <si>
    <t>Pressure Drop for Two Phase Flow in Horizontal Pipe</t>
  </si>
  <si>
    <t>mm</t>
  </si>
  <si>
    <t>Kg/h</t>
  </si>
  <si>
    <t>Kg/m3</t>
  </si>
  <si>
    <t>bar/100 m</t>
  </si>
  <si>
    <t>kg/m3</t>
  </si>
  <si>
    <t>m/s</t>
  </si>
  <si>
    <t>Description</t>
  </si>
  <si>
    <t>Chisolm - Baroczy</t>
  </si>
  <si>
    <t>CheGuide.com</t>
  </si>
  <si>
    <t>Chemical Engineer's Guide</t>
  </si>
  <si>
    <t>30-Aug-15</t>
  </si>
  <si>
    <t>CheGuide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</si>
</sst>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E+00"/>
    <numFmt numFmtId="167" formatCode="0.0000"/>
    <numFmt numFmtId="168" formatCode="[$-14009]dd/m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3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4506668294322"/>
      </top>
      <bottom/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164" fontId="0" fillId="0" borderId="0" xfId="0" applyNumberFormat="1" applyFont="1" applyAlignment="1">
      <alignment wrapText="1"/>
    </xf>
    <xf numFmtId="164" fontId="0" fillId="0" borderId="0" xfId="0" applyNumberFormat="1"/>
    <xf numFmtId="164" fontId="1" fillId="0" borderId="0" xfId="0" applyNumberFormat="1" applyFont="1" applyBorder="1" applyAlignment="1">
      <alignment horizontal="center" wrapText="1"/>
    </xf>
    <xf numFmtId="164" fontId="5" fillId="0" borderId="0" xfId="0" applyNumberFormat="1" applyFont="1" applyAlignment="1" applyProtection="1">
      <alignment vertical="center"/>
    </xf>
    <xf numFmtId="164" fontId="0" fillId="0" borderId="0" xfId="0" applyNumberFormat="1" applyFont="1" applyFill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Protection="1"/>
    <xf numFmtId="164" fontId="6" fillId="0" borderId="0" xfId="0" applyNumberFormat="1" applyFont="1" applyBorder="1" applyProtection="1"/>
    <xf numFmtId="164" fontId="0" fillId="0" borderId="0" xfId="0" applyNumberFormat="1" applyFont="1" applyProtection="1"/>
    <xf numFmtId="164" fontId="0" fillId="0" borderId="0" xfId="0" applyNumberFormat="1" applyFont="1" applyFill="1" applyBorder="1" applyAlignment="1" applyProtection="1">
      <protection locked="0"/>
    </xf>
    <xf numFmtId="164" fontId="3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ont="1"/>
    <xf numFmtId="164" fontId="0" fillId="0" borderId="0" xfId="0" applyNumberFormat="1" applyFont="1" applyFill="1"/>
    <xf numFmtId="164" fontId="7" fillId="0" borderId="0" xfId="0" applyNumberFormat="1" applyFont="1" applyFill="1" applyAlignment="1">
      <alignment wrapText="1"/>
    </xf>
    <xf numFmtId="0" fontId="1" fillId="3" borderId="0" xfId="0" applyFont="1" applyFill="1" applyProtection="1"/>
    <xf numFmtId="164" fontId="7" fillId="0" borderId="0" xfId="0" applyNumberFormat="1" applyFont="1" applyFill="1"/>
    <xf numFmtId="164" fontId="0" fillId="0" borderId="0" xfId="0" quotePrefix="1" applyNumberFormat="1"/>
    <xf numFmtId="164" fontId="8" fillId="0" borderId="0" xfId="0" applyNumberFormat="1" applyFont="1"/>
    <xf numFmtId="164" fontId="8" fillId="0" borderId="0" xfId="0" applyNumberFormat="1" applyFont="1" applyAlignment="1">
      <alignment wrapText="1"/>
    </xf>
    <xf numFmtId="164" fontId="0" fillId="2" borderId="1" xfId="0" applyNumberFormat="1" applyFont="1" applyFill="1" applyBorder="1" applyAlignment="1" applyProtection="1">
      <protection locked="0"/>
    </xf>
    <xf numFmtId="167" fontId="0" fillId="2" borderId="2" xfId="0" applyNumberFormat="1" applyFont="1" applyFill="1" applyBorder="1" applyAlignment="1" applyProtection="1">
      <protection locked="0"/>
    </xf>
    <xf numFmtId="165" fontId="0" fillId="2" borderId="1" xfId="0" applyNumberFormat="1" applyFont="1" applyFill="1" applyBorder="1" applyAlignment="1" applyProtection="1">
      <protection locked="0"/>
    </xf>
    <xf numFmtId="165" fontId="0" fillId="2" borderId="2" xfId="0" applyNumberFormat="1" applyFont="1" applyFill="1" applyBorder="1" applyAlignment="1" applyProtection="1">
      <protection locked="0"/>
    </xf>
    <xf numFmtId="165" fontId="0" fillId="2" borderId="3" xfId="0" applyNumberFormat="1" applyFont="1" applyFill="1" applyBorder="1" applyAlignment="1" applyProtection="1">
      <protection locked="0"/>
    </xf>
    <xf numFmtId="164" fontId="0" fillId="2" borderId="3" xfId="0" applyNumberFormat="1" applyFont="1" applyFill="1" applyBorder="1" applyAlignment="1" applyProtection="1">
      <protection locked="0"/>
    </xf>
    <xf numFmtId="164" fontId="9" fillId="0" borderId="0" xfId="0" applyNumberFormat="1" applyFont="1" applyProtection="1"/>
    <xf numFmtId="164" fontId="6" fillId="2" borderId="1" xfId="0" applyNumberFormat="1" applyFont="1" applyFill="1" applyBorder="1" applyAlignment="1" applyProtection="1">
      <protection locked="0"/>
    </xf>
    <xf numFmtId="165" fontId="0" fillId="4" borderId="0" xfId="0" applyNumberFormat="1" applyFill="1"/>
    <xf numFmtId="164" fontId="0" fillId="4" borderId="0" xfId="0" applyNumberFormat="1" applyFill="1"/>
    <xf numFmtId="165" fontId="0" fillId="4" borderId="8" xfId="0" applyNumberFormat="1" applyFill="1" applyBorder="1"/>
    <xf numFmtId="164" fontId="0" fillId="4" borderId="8" xfId="0" applyNumberFormat="1" applyFill="1" applyBorder="1"/>
    <xf numFmtId="164" fontId="10" fillId="4" borderId="8" xfId="0" applyNumberFormat="1" applyFont="1" applyFill="1" applyBorder="1"/>
    <xf numFmtId="11" fontId="10" fillId="4" borderId="8" xfId="0" applyNumberFormat="1" applyFont="1" applyFill="1" applyBorder="1"/>
    <xf numFmtId="164" fontId="10" fillId="4" borderId="9" xfId="0" applyNumberFormat="1" applyFont="1" applyFill="1" applyBorder="1"/>
    <xf numFmtId="164" fontId="0" fillId="4" borderId="9" xfId="0" applyNumberFormat="1" applyFill="1" applyBorder="1"/>
    <xf numFmtId="164" fontId="11" fillId="4" borderId="9" xfId="0" applyNumberFormat="1" applyFont="1" applyFill="1" applyBorder="1"/>
    <xf numFmtId="164" fontId="0" fillId="5" borderId="0" xfId="0" applyNumberFormat="1" applyFont="1" applyFill="1" applyProtection="1"/>
    <xf numFmtId="164" fontId="0" fillId="5" borderId="0" xfId="0" applyNumberFormat="1" applyFill="1" applyProtection="1"/>
    <xf numFmtId="164" fontId="0" fillId="5" borderId="0" xfId="0" applyNumberFormat="1" applyFont="1" applyFill="1" applyAlignment="1">
      <alignment wrapText="1"/>
    </xf>
    <xf numFmtId="166" fontId="0" fillId="5" borderId="0" xfId="0" applyNumberFormat="1" applyFill="1" applyAlignment="1">
      <alignment wrapText="1"/>
    </xf>
    <xf numFmtId="166" fontId="0" fillId="5" borderId="0" xfId="0" applyNumberFormat="1" applyFont="1" applyFill="1" applyAlignment="1">
      <alignment wrapText="1"/>
    </xf>
    <xf numFmtId="164" fontId="0" fillId="5" borderId="0" xfId="0" applyNumberFormat="1" applyFont="1" applyFill="1"/>
    <xf numFmtId="166" fontId="0" fillId="5" borderId="0" xfId="0" applyNumberFormat="1" applyFont="1" applyFill="1"/>
    <xf numFmtId="164" fontId="0" fillId="0" borderId="0" xfId="0" applyNumberFormat="1" applyFont="1" applyFill="1" applyBorder="1" applyAlignment="1" applyProtection="1">
      <alignment wrapText="1"/>
    </xf>
    <xf numFmtId="164" fontId="10" fillId="0" borderId="0" xfId="0" applyNumberFormat="1" applyFont="1" applyAlignment="1">
      <alignment wrapText="1"/>
    </xf>
    <xf numFmtId="164" fontId="10" fillId="0" borderId="0" xfId="0" applyNumberFormat="1" applyFont="1" applyFill="1" applyBorder="1" applyAlignment="1">
      <alignment wrapText="1"/>
    </xf>
    <xf numFmtId="164" fontId="7" fillId="0" borderId="0" xfId="0" applyNumberFormat="1" applyFont="1"/>
    <xf numFmtId="164" fontId="10" fillId="0" borderId="10" xfId="0" applyNumberFormat="1" applyFont="1" applyFill="1" applyBorder="1"/>
    <xf numFmtId="164" fontId="0" fillId="5" borderId="0" xfId="0" applyNumberFormat="1" applyFont="1" applyFill="1" applyBorder="1" applyAlignment="1" applyProtection="1"/>
    <xf numFmtId="167" fontId="0" fillId="5" borderId="0" xfId="0" applyNumberFormat="1" applyFont="1" applyFill="1" applyBorder="1" applyAlignment="1" applyProtection="1"/>
    <xf numFmtId="165" fontId="0" fillId="5" borderId="0" xfId="0" applyNumberFormat="1" applyFont="1" applyFill="1" applyBorder="1" applyAlignment="1" applyProtection="1"/>
    <xf numFmtId="165" fontId="10" fillId="5" borderId="0" xfId="0" applyNumberFormat="1" applyFont="1" applyFill="1" applyBorder="1" applyAlignment="1" applyProtection="1"/>
    <xf numFmtId="164" fontId="10" fillId="5" borderId="0" xfId="0" applyNumberFormat="1" applyFont="1" applyFill="1" applyBorder="1" applyAlignment="1" applyProtection="1"/>
    <xf numFmtId="1" fontId="0" fillId="5" borderId="0" xfId="0" applyNumberFormat="1" applyFont="1" applyFill="1" applyProtection="1"/>
    <xf numFmtId="164" fontId="5" fillId="0" borderId="0" xfId="0" applyNumberFormat="1" applyFont="1" applyAlignment="1" applyProtection="1">
      <alignment horizontal="center" vertical="center"/>
    </xf>
    <xf numFmtId="164" fontId="6" fillId="2" borderId="6" xfId="0" applyNumberFormat="1" applyFont="1" applyFill="1" applyBorder="1" applyAlignment="1" applyProtection="1">
      <alignment horizontal="left"/>
      <protection locked="0"/>
    </xf>
    <xf numFmtId="164" fontId="6" fillId="2" borderId="7" xfId="0" applyNumberFormat="1" applyFont="1" applyFill="1" applyBorder="1" applyAlignment="1" applyProtection="1">
      <alignment horizontal="left"/>
      <protection locked="0"/>
    </xf>
    <xf numFmtId="168" fontId="6" fillId="2" borderId="7" xfId="0" applyNumberFormat="1" applyFont="1" applyFill="1" applyBorder="1" applyAlignment="1" applyProtection="1">
      <alignment horizontal="left"/>
      <protection locked="0"/>
    </xf>
    <xf numFmtId="164" fontId="6" fillId="2" borderId="4" xfId="0" applyNumberFormat="1" applyFont="1" applyFill="1" applyBorder="1" applyAlignment="1" applyProtection="1">
      <alignment horizontal="left"/>
      <protection locked="0"/>
    </xf>
    <xf numFmtId="164" fontId="6" fillId="2" borderId="5" xfId="0" applyNumberFormat="1" applyFont="1" applyFill="1" applyBorder="1" applyAlignment="1" applyProtection="1">
      <alignment horizontal="left"/>
      <protection locked="0"/>
    </xf>
    <xf numFmtId="168" fontId="6" fillId="2" borderId="6" xfId="0" quotePrefix="1" applyNumberFormat="1" applyFont="1" applyFill="1" applyBorder="1" applyAlignment="1" applyProtection="1">
      <alignment horizontal="left"/>
      <protection locked="0"/>
    </xf>
    <xf numFmtId="164" fontId="2" fillId="0" borderId="0" xfId="1" applyNumberForma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guid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hegui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55"/>
  <sheetViews>
    <sheetView showGridLines="0" workbookViewId="0">
      <selection activeCell="B3" sqref="B3"/>
    </sheetView>
  </sheetViews>
  <sheetFormatPr defaultRowHeight="15" x14ac:dyDescent="0.25"/>
  <cols>
    <col min="1" max="1" width="4.140625" style="13" customWidth="1"/>
    <col min="2" max="2" width="19.7109375" style="2" customWidth="1"/>
    <col min="3" max="3" width="10.28515625" style="2" customWidth="1"/>
    <col min="4" max="4" width="10" style="2" customWidth="1"/>
    <col min="5" max="5" width="3.140625" style="2" customWidth="1"/>
    <col min="6" max="6" width="19.28515625" style="2" customWidth="1"/>
    <col min="7" max="7" width="10.28515625" style="2" customWidth="1"/>
    <col min="8" max="8" width="9.140625" style="2"/>
    <col min="9" max="9" width="9.140625" style="14"/>
    <col min="10" max="10" width="15.85546875" style="15" hidden="1" customWidth="1"/>
    <col min="11" max="11" width="11.5703125" style="14" hidden="1" customWidth="1"/>
    <col min="12" max="12" width="0" style="14" hidden="1" customWidth="1"/>
    <col min="13" max="13" width="15" style="14" hidden="1" customWidth="1"/>
    <col min="14" max="14" width="11.5703125" style="14" hidden="1" customWidth="1"/>
    <col min="15" max="15" width="0" style="14" hidden="1" customWidth="1"/>
    <col min="16" max="17" width="9.140625" style="14"/>
    <col min="18" max="16384" width="9.140625" style="2"/>
  </cols>
  <sheetData>
    <row r="2" spans="1:17" s="6" customFormat="1" ht="19.5" customHeight="1" x14ac:dyDescent="0.25">
      <c r="A2" s="3"/>
      <c r="B2" s="57" t="s">
        <v>89</v>
      </c>
      <c r="C2" s="57"/>
      <c r="D2" s="57"/>
      <c r="E2" s="57"/>
      <c r="F2" s="57"/>
      <c r="G2" s="57"/>
      <c r="H2" s="57"/>
      <c r="I2" s="4"/>
      <c r="J2" s="5"/>
      <c r="K2" s="1"/>
      <c r="L2" s="1"/>
      <c r="M2" s="1"/>
      <c r="N2" s="1"/>
      <c r="O2" s="1"/>
      <c r="P2" s="1"/>
      <c r="Q2" s="1"/>
    </row>
    <row r="3" spans="1:17" s="7" customFormat="1" x14ac:dyDescent="0.25">
      <c r="B3" s="64" t="s">
        <v>98</v>
      </c>
      <c r="F3" s="8" t="s">
        <v>11</v>
      </c>
      <c r="G3" s="58" t="s">
        <v>12</v>
      </c>
      <c r="H3" s="59"/>
      <c r="I3" s="9"/>
      <c r="J3" s="10" t="s">
        <v>23</v>
      </c>
      <c r="K3" s="39">
        <f>PI()*(C9/12)^2/4</f>
        <v>8.8404613621557604E-2</v>
      </c>
      <c r="L3" s="9" t="s">
        <v>20</v>
      </c>
      <c r="M3" s="9"/>
      <c r="N3" s="9"/>
      <c r="O3" s="9"/>
      <c r="P3" s="9"/>
      <c r="Q3" s="9"/>
    </row>
    <row r="4" spans="1:17" s="7" customFormat="1" x14ac:dyDescent="0.25">
      <c r="B4" s="28" t="s">
        <v>99</v>
      </c>
      <c r="F4" s="8" t="s">
        <v>96</v>
      </c>
      <c r="G4" s="58" t="s">
        <v>19</v>
      </c>
      <c r="H4" s="59"/>
      <c r="I4" s="9"/>
      <c r="J4" s="10" t="s">
        <v>22</v>
      </c>
      <c r="K4" s="39">
        <f>C10/C9</f>
        <v>4.4709388971684054E-4</v>
      </c>
      <c r="L4" s="9"/>
      <c r="M4" s="9" t="s">
        <v>39</v>
      </c>
      <c r="N4" s="39">
        <v>32.173999999999999</v>
      </c>
      <c r="O4" s="9"/>
      <c r="P4" s="9"/>
      <c r="Q4" s="9"/>
    </row>
    <row r="5" spans="1:17" s="7" customFormat="1" x14ac:dyDescent="0.25">
      <c r="F5" s="8" t="s">
        <v>13</v>
      </c>
      <c r="G5" s="63" t="s">
        <v>100</v>
      </c>
      <c r="H5" s="60"/>
      <c r="I5" s="9"/>
      <c r="J5" s="10" t="s">
        <v>21</v>
      </c>
      <c r="K5" s="39">
        <f>((C13/C15)/3600)/K3</f>
        <v>6.0600165206767091E-4</v>
      </c>
      <c r="L5" s="9" t="s">
        <v>24</v>
      </c>
      <c r="M5" s="10" t="s">
        <v>25</v>
      </c>
      <c r="N5" s="39">
        <f>((G13/G15)/3600)/K3</f>
        <v>66.149864546755239</v>
      </c>
      <c r="O5" s="9" t="s">
        <v>24</v>
      </c>
      <c r="P5" s="9"/>
      <c r="Q5" s="9"/>
    </row>
    <row r="6" spans="1:17" s="7" customFormat="1" x14ac:dyDescent="0.25">
      <c r="B6" s="11" t="s">
        <v>0</v>
      </c>
      <c r="C6" s="29"/>
      <c r="D6" s="6"/>
      <c r="E6" s="6"/>
      <c r="F6" s="8" t="s">
        <v>14</v>
      </c>
      <c r="G6" s="61" t="s">
        <v>101</v>
      </c>
      <c r="H6" s="62"/>
      <c r="I6" s="9"/>
      <c r="J6" s="7" t="s">
        <v>26</v>
      </c>
      <c r="K6" s="40">
        <f>1488.1639*(C9/12)*C15*K5/C14</f>
        <v>1.2550350233663219</v>
      </c>
      <c r="M6" s="9" t="s">
        <v>27</v>
      </c>
      <c r="N6" s="39">
        <f>1488.1639*(C9/12)*G15*N5/G14</f>
        <v>8964535.8811880127</v>
      </c>
      <c r="O6" s="9"/>
      <c r="P6" s="9"/>
      <c r="Q6" s="9"/>
    </row>
    <row r="7" spans="1:17" s="6" customFormat="1" ht="12.75" customHeight="1" x14ac:dyDescent="0.25">
      <c r="A7" s="3"/>
      <c r="I7" s="1"/>
      <c r="J7" s="5" t="s">
        <v>28</v>
      </c>
      <c r="K7" s="41">
        <f>(C13+G13)/K3/3600</f>
        <v>251.40090646332965</v>
      </c>
      <c r="L7" s="1"/>
      <c r="M7" s="1" t="s">
        <v>29</v>
      </c>
      <c r="N7" s="41">
        <f>K7*(3.2808^2)/2.20462</f>
        <v>1227.4183419132485</v>
      </c>
      <c r="O7" s="1"/>
      <c r="P7" s="1"/>
      <c r="Q7" s="1"/>
    </row>
    <row r="8" spans="1:17" s="6" customFormat="1" ht="12.75" customHeight="1" x14ac:dyDescent="0.25">
      <c r="A8" s="3"/>
      <c r="B8" s="12" t="s">
        <v>1</v>
      </c>
      <c r="I8" s="1"/>
      <c r="J8" s="5" t="s">
        <v>30</v>
      </c>
      <c r="K8" s="41">
        <f>C13/K3/3600</f>
        <v>3.1421185659708736E-2</v>
      </c>
      <c r="L8" s="1"/>
      <c r="M8" s="1" t="s">
        <v>31</v>
      </c>
      <c r="N8" s="41">
        <f>G13/K3/3600</f>
        <v>251.36948527766992</v>
      </c>
      <c r="O8" s="1"/>
      <c r="P8" s="1"/>
      <c r="Q8" s="1"/>
    </row>
    <row r="9" spans="1:17" s="6" customFormat="1" ht="12.75" customHeight="1" x14ac:dyDescent="0.25">
      <c r="A9" s="3"/>
      <c r="B9" s="6" t="s">
        <v>2</v>
      </c>
      <c r="C9" s="22">
        <v>4.0259999999999998</v>
      </c>
      <c r="D9" s="21" t="s">
        <v>3</v>
      </c>
      <c r="I9" s="1"/>
      <c r="J9" s="5" t="s">
        <v>32</v>
      </c>
      <c r="K9" s="41">
        <f>(G13+C13)/(G13/G15+C13/C15)</f>
        <v>3.800440184009886</v>
      </c>
      <c r="L9" s="1"/>
      <c r="M9" s="1" t="s">
        <v>33</v>
      </c>
      <c r="N9" s="41">
        <f>C13+G13</f>
        <v>80010</v>
      </c>
      <c r="O9" s="1"/>
      <c r="P9" s="1"/>
      <c r="Q9" s="1"/>
    </row>
    <row r="10" spans="1:17" s="6" customFormat="1" ht="12.75" customHeight="1" x14ac:dyDescent="0.25">
      <c r="A10" s="3"/>
      <c r="B10" s="6" t="s">
        <v>4</v>
      </c>
      <c r="C10" s="23">
        <v>1.8E-3</v>
      </c>
      <c r="D10" s="21" t="s">
        <v>3</v>
      </c>
      <c r="I10" s="1"/>
      <c r="J10" s="5" t="s">
        <v>34</v>
      </c>
      <c r="K10" s="41">
        <f>G13/N9</f>
        <v>0.99987501562304715</v>
      </c>
      <c r="L10" s="1"/>
      <c r="M10" s="1" t="s">
        <v>35</v>
      </c>
      <c r="N10" s="41">
        <f>C14/G14</f>
        <v>892.85714285714289</v>
      </c>
      <c r="O10" s="1"/>
      <c r="P10" s="1"/>
      <c r="Q10" s="1"/>
    </row>
    <row r="11" spans="1:17" s="6" customFormat="1" ht="12.75" customHeight="1" x14ac:dyDescent="0.25">
      <c r="A11" s="3"/>
      <c r="C11" s="1"/>
      <c r="D11" s="21"/>
      <c r="I11" s="1"/>
      <c r="J11" s="5"/>
      <c r="K11" s="1"/>
      <c r="L11" s="1"/>
      <c r="M11" s="1"/>
      <c r="N11" s="1"/>
      <c r="O11" s="1"/>
      <c r="P11" s="1"/>
      <c r="Q11" s="1"/>
    </row>
    <row r="12" spans="1:17" s="6" customFormat="1" ht="12.75" customHeight="1" x14ac:dyDescent="0.25">
      <c r="A12" s="3"/>
      <c r="B12" s="12" t="s">
        <v>15</v>
      </c>
      <c r="C12" s="1"/>
      <c r="D12" s="21"/>
      <c r="F12" s="12" t="s">
        <v>18</v>
      </c>
      <c r="G12" s="1"/>
      <c r="I12" s="1"/>
      <c r="J12" s="15"/>
      <c r="K12" s="14"/>
      <c r="L12" s="14"/>
      <c r="M12" s="14"/>
      <c r="N12" s="14"/>
      <c r="O12" s="1"/>
      <c r="P12" s="1"/>
      <c r="Q12" s="1"/>
    </row>
    <row r="13" spans="1:17" s="6" customFormat="1" ht="12.75" customHeight="1" x14ac:dyDescent="0.25">
      <c r="A13" s="3"/>
      <c r="B13" s="6" t="s">
        <v>5</v>
      </c>
      <c r="C13" s="24">
        <v>10</v>
      </c>
      <c r="D13" s="21" t="s">
        <v>6</v>
      </c>
      <c r="F13" s="6" t="s">
        <v>5</v>
      </c>
      <c r="G13" s="26">
        <v>80000</v>
      </c>
      <c r="H13" s="21" t="s">
        <v>6</v>
      </c>
      <c r="I13" s="1"/>
      <c r="J13" s="16" t="s">
        <v>40</v>
      </c>
      <c r="K13" s="1"/>
      <c r="L13" s="1"/>
      <c r="M13" s="1"/>
      <c r="N13" s="1"/>
      <c r="O13" s="1"/>
      <c r="P13" s="1"/>
      <c r="Q13" s="1"/>
    </row>
    <row r="14" spans="1:17" s="6" customFormat="1" ht="12.75" customHeight="1" x14ac:dyDescent="0.25">
      <c r="A14" s="3"/>
      <c r="B14" s="6" t="s">
        <v>7</v>
      </c>
      <c r="C14" s="26">
        <v>12.5</v>
      </c>
      <c r="D14" s="21" t="s">
        <v>8</v>
      </c>
      <c r="F14" s="6" t="s">
        <v>7</v>
      </c>
      <c r="G14" s="27">
        <v>1.4E-2</v>
      </c>
      <c r="H14" s="21" t="s">
        <v>8</v>
      </c>
      <c r="I14" s="1"/>
      <c r="J14" s="6" t="s">
        <v>42</v>
      </c>
      <c r="K14" s="42">
        <f>4*N9/((C9/12)*PI()*2.4190883*C14)</f>
        <v>10041.535559538177</v>
      </c>
      <c r="L14" s="1"/>
      <c r="M14" s="5" t="s">
        <v>41</v>
      </c>
      <c r="N14" s="43">
        <f>4*N9/((C9/12)*PI()*2.4190883*G14)</f>
        <v>8965656.7495876569</v>
      </c>
      <c r="O14" s="1"/>
      <c r="P14" s="1"/>
      <c r="Q14" s="1"/>
    </row>
    <row r="15" spans="1:17" s="6" customFormat="1" ht="12.75" customHeight="1" x14ac:dyDescent="0.25">
      <c r="A15" s="3"/>
      <c r="B15" s="6" t="s">
        <v>9</v>
      </c>
      <c r="C15" s="27">
        <v>51.85</v>
      </c>
      <c r="D15" s="21" t="s">
        <v>10</v>
      </c>
      <c r="F15" s="6" t="s">
        <v>9</v>
      </c>
      <c r="G15" s="25">
        <v>3.8</v>
      </c>
      <c r="H15" s="21" t="s">
        <v>10</v>
      </c>
      <c r="I15" s="1"/>
      <c r="J15" s="5" t="s">
        <v>49</v>
      </c>
      <c r="K15" s="41">
        <f>64/K14</f>
        <v>6.3735271981592663E-3</v>
      </c>
      <c r="L15" s="1"/>
      <c r="M15" s="5" t="s">
        <v>49</v>
      </c>
      <c r="N15" s="41">
        <f>64/N14</f>
        <v>7.1383504619383794E-6</v>
      </c>
      <c r="O15" s="1"/>
      <c r="P15" s="1"/>
      <c r="Q15" s="1"/>
    </row>
    <row r="16" spans="1:17" s="6" customFormat="1" ht="12.75" customHeight="1" x14ac:dyDescent="0.25">
      <c r="A16" s="3"/>
      <c r="B16" s="6" t="s">
        <v>16</v>
      </c>
      <c r="C16" s="25">
        <v>63</v>
      </c>
      <c r="D16" s="21" t="s">
        <v>17</v>
      </c>
      <c r="I16" s="1"/>
      <c r="J16" s="5" t="s">
        <v>50</v>
      </c>
      <c r="K16" s="41">
        <f>(0.86859*LN(K14/ (1.964*LN(K14)-3.8215)))^-2</f>
        <v>3.0839167784826156E-2</v>
      </c>
      <c r="L16" s="1"/>
      <c r="M16" s="5" t="s">
        <v>50</v>
      </c>
      <c r="N16" s="41">
        <f>(0.86859*LN(N14/ (1.964*LN(N14)-3.8215)))^-2</f>
        <v>8.2304137284601019E-3</v>
      </c>
      <c r="O16" s="1"/>
      <c r="P16" s="1"/>
      <c r="Q16" s="1"/>
    </row>
    <row r="17" spans="2:14" x14ac:dyDescent="0.25">
      <c r="J17" s="5" t="s">
        <v>48</v>
      </c>
      <c r="K17" s="41">
        <f>IF(K14&lt;=1055,K15,K16)</f>
        <v>3.0839167784826156E-2</v>
      </c>
      <c r="L17" s="1"/>
      <c r="M17" s="1" t="s">
        <v>47</v>
      </c>
      <c r="N17" s="41">
        <f>IF(N14&lt;=1055,N15,N16)</f>
        <v>8.2304137284601019E-3</v>
      </c>
    </row>
    <row r="18" spans="2:14" x14ac:dyDescent="0.25">
      <c r="B18" s="17" t="s">
        <v>36</v>
      </c>
      <c r="C18" s="17"/>
      <c r="D18" s="17"/>
      <c r="F18" s="17" t="s">
        <v>54</v>
      </c>
      <c r="G18" s="17"/>
      <c r="H18" s="17"/>
    </row>
    <row r="19" spans="2:14" x14ac:dyDescent="0.25">
      <c r="B19" s="6" t="s">
        <v>37</v>
      </c>
      <c r="C19" s="30">
        <f>(K7^2)/(32.2*(K9^2)*(C9/12))</f>
        <v>405.05824751929578</v>
      </c>
      <c r="F19" s="2" t="s">
        <v>57</v>
      </c>
      <c r="G19" s="31">
        <f>(N25/K25)^0.5</f>
        <v>2.6530994285626472</v>
      </c>
      <c r="J19" s="18" t="s">
        <v>51</v>
      </c>
    </row>
    <row r="20" spans="2:14" x14ac:dyDescent="0.25">
      <c r="B20" s="6" t="s">
        <v>38</v>
      </c>
      <c r="C20" s="32">
        <f>(C9/12)*(K7^2)/(N4*K9*C16*0.000002248089*2.54*12)</f>
        <v>40171.516910863073</v>
      </c>
      <c r="F20" s="2" t="s">
        <v>53</v>
      </c>
      <c r="G20" s="33">
        <f>IF(AND((G19&gt;0),(G19&lt;9.5)),K27,IF(G19&lt;28,K28,K29))</f>
        <v>1.5698797411837939</v>
      </c>
      <c r="J20" s="15" t="s">
        <v>49</v>
      </c>
      <c r="K20" s="44">
        <f>64/K14</f>
        <v>6.3735271981592663E-3</v>
      </c>
      <c r="M20" s="15" t="s">
        <v>49</v>
      </c>
      <c r="N20" s="44">
        <f>64/N14</f>
        <v>7.1383504619383794E-6</v>
      </c>
    </row>
    <row r="21" spans="2:14" x14ac:dyDescent="0.25">
      <c r="B21" s="2" t="s">
        <v>43</v>
      </c>
      <c r="C21" s="33">
        <f>(1-K10)^2+K10^2*(C15*N17/G15/K17)</f>
        <v>3.6406222274709603</v>
      </c>
      <c r="F21" s="2" t="s">
        <v>61</v>
      </c>
      <c r="G21" s="33">
        <v>0.25</v>
      </c>
      <c r="J21" s="15" t="s">
        <v>52</v>
      </c>
      <c r="K21" s="45">
        <f>(-2.457*LN((7/K14)^0.9+0.27*K4))^16</f>
        <v>1.6278977377688406E+19</v>
      </c>
      <c r="M21" s="15" t="s">
        <v>52</v>
      </c>
      <c r="N21" s="45">
        <f>(-2.457*LN((7/N14)^0.9+0.27*K4))^16</f>
        <v>3.245577725637358E+21</v>
      </c>
    </row>
    <row r="22" spans="2:14" x14ac:dyDescent="0.25">
      <c r="B22" s="2" t="s">
        <v>44</v>
      </c>
      <c r="C22" s="33">
        <f>C21+3.24*(K10^0.78)*(1-K10)^0.24*(C15/G15)^0.91*(G14/C14)^0.19*(1-G14/C14)^0.7*C19^-0.045*C20^-0.035</f>
        <v>4.2255492232147747</v>
      </c>
      <c r="F22" s="2" t="s">
        <v>44</v>
      </c>
      <c r="G22" s="33">
        <f>1+(G19^2-1)*(G20*(K10^((2-G21)/2))*((1-K10)^((2-G21)/2))+K10^(2-G21)       )</f>
        <v>7.0412593658793776</v>
      </c>
      <c r="J22" s="15" t="s">
        <v>53</v>
      </c>
      <c r="K22" s="45">
        <f>(37530/K14)^16</f>
        <v>1449622569.2345147</v>
      </c>
      <c r="M22" s="15" t="s">
        <v>53</v>
      </c>
      <c r="N22" s="45">
        <f>(37530/N14)^16</f>
        <v>8.8867569938652612E-39</v>
      </c>
    </row>
    <row r="23" spans="2:14" x14ac:dyDescent="0.25">
      <c r="B23" s="2" t="s">
        <v>45</v>
      </c>
      <c r="C23" s="33">
        <f>100*C22*K17*(K7^2)/2/N4/C15/(C9/12)/144</f>
        <v>5.1095265836396297</v>
      </c>
      <c r="D23" s="20" t="s">
        <v>46</v>
      </c>
      <c r="F23" s="2" t="s">
        <v>45</v>
      </c>
      <c r="G23" s="33">
        <f>100*G22*K24*(K7^2)/2/N4/C15/(C9/12)/144</f>
        <v>8.7635846736547656</v>
      </c>
      <c r="H23" s="20" t="s">
        <v>46</v>
      </c>
      <c r="J23" s="15" t="s">
        <v>50</v>
      </c>
      <c r="K23" s="45">
        <f>8*((8/K14)^12 + (K21+K22)^-1.5)^(1/12)</f>
        <v>3.1742168826350024E-2</v>
      </c>
      <c r="M23" s="15" t="s">
        <v>50</v>
      </c>
      <c r="N23" s="45">
        <f>8*((8/N14)^12 + (N21+N22)^-1.5)^(1/12)</f>
        <v>1.637489354300194E-2</v>
      </c>
    </row>
    <row r="24" spans="2:14" x14ac:dyDescent="0.25">
      <c r="J24" s="15" t="s">
        <v>48</v>
      </c>
      <c r="K24" s="45">
        <f>IF(K14&lt;=2100,K20,K23)</f>
        <v>3.1742168826350024E-2</v>
      </c>
      <c r="M24" s="14" t="s">
        <v>47</v>
      </c>
      <c r="N24" s="45">
        <f>IF(N14&lt;=2100,N20,N23)</f>
        <v>1.637489354300194E-2</v>
      </c>
    </row>
    <row r="25" spans="2:14" x14ac:dyDescent="0.25">
      <c r="B25" s="17" t="s">
        <v>63</v>
      </c>
      <c r="C25" s="17"/>
      <c r="D25" s="17"/>
      <c r="J25" s="15" t="s">
        <v>55</v>
      </c>
      <c r="K25" s="44">
        <f>100*K24*(K7^2)/2/N4/C15/(C9/12)/144</f>
        <v>1.2446047245641105</v>
      </c>
      <c r="M25" s="14" t="s">
        <v>56</v>
      </c>
      <c r="N25" s="44">
        <f>100*N24*(K7^2)/2/N4/G15/(C9/12)/144</f>
        <v>8.7606937206861062</v>
      </c>
    </row>
    <row r="26" spans="2:14" x14ac:dyDescent="0.25">
      <c r="B26" s="2" t="s">
        <v>34</v>
      </c>
      <c r="C26" s="31">
        <f>LN(SQRT(K38/N38))</f>
        <v>-6.2720112916344757</v>
      </c>
    </row>
    <row r="27" spans="2:14" x14ac:dyDescent="0.25">
      <c r="B27" s="2" t="s">
        <v>65</v>
      </c>
      <c r="C27" s="33">
        <f>IF(K48=J40,K41,IF(K48=M40,N41,IF(K48=J44,K45,N45)))</f>
        <v>6.3226279834135104</v>
      </c>
      <c r="J27" s="15" t="s">
        <v>58</v>
      </c>
      <c r="K27" s="44">
        <f>55/(N7^0.5)</f>
        <v>1.5698797411837939</v>
      </c>
    </row>
    <row r="28" spans="2:14" x14ac:dyDescent="0.25">
      <c r="B28" s="2" t="s">
        <v>66</v>
      </c>
      <c r="C28" s="33">
        <f>IF(K48=J40,K42,IF(K48=M40,N42,IF(K48=J44,K46,N46)))</f>
        <v>5.433935261305245E-2</v>
      </c>
      <c r="J28" s="15" t="s">
        <v>59</v>
      </c>
      <c r="K28" s="44">
        <f>520/(G19*N7^0.5)</f>
        <v>5.5943999728775182</v>
      </c>
    </row>
    <row r="29" spans="2:14" x14ac:dyDescent="0.25">
      <c r="B29" s="2" t="s">
        <v>45</v>
      </c>
      <c r="C29" s="33">
        <f>IF(K50&gt;N50,K50,N50)</f>
        <v>9.7640225074836167</v>
      </c>
      <c r="D29" s="20" t="s">
        <v>46</v>
      </c>
      <c r="J29" s="15" t="s">
        <v>60</v>
      </c>
      <c r="K29" s="44">
        <f>15000/(G19^2*N7^0.5)</f>
        <v>60.825810204170118</v>
      </c>
    </row>
    <row r="31" spans="2:14" x14ac:dyDescent="0.25">
      <c r="B31" s="17" t="s">
        <v>88</v>
      </c>
      <c r="C31" s="17"/>
      <c r="D31" s="17"/>
      <c r="J31" s="18" t="s">
        <v>62</v>
      </c>
    </row>
    <row r="32" spans="2:14" x14ac:dyDescent="0.25">
      <c r="B32" s="2" t="s">
        <v>74</v>
      </c>
      <c r="C32" s="2" t="s">
        <v>73</v>
      </c>
      <c r="F32" s="2" t="s">
        <v>79</v>
      </c>
      <c r="J32" s="15" t="s">
        <v>42</v>
      </c>
      <c r="K32" s="44">
        <f>4*C13/((C9/12)*PI()*2.4190883*C14)</f>
        <v>1.2550350655590772</v>
      </c>
      <c r="M32" s="14" t="s">
        <v>41</v>
      </c>
      <c r="N32" s="44">
        <f>4*G13/((C9/12)*PI()*2.4190883*G14)</f>
        <v>8964536.1825648379</v>
      </c>
    </row>
    <row r="33" spans="2:14" x14ac:dyDescent="0.25">
      <c r="B33" s="2" t="s">
        <v>40</v>
      </c>
      <c r="C33" s="19" t="s">
        <v>77</v>
      </c>
      <c r="F33" s="2" t="s">
        <v>80</v>
      </c>
      <c r="J33" s="15" t="s">
        <v>49</v>
      </c>
      <c r="K33" s="44">
        <f>64/K32</f>
        <v>50.994591112472293</v>
      </c>
      <c r="M33" s="15" t="s">
        <v>49</v>
      </c>
      <c r="N33" s="44">
        <f>64/N32</f>
        <v>7.1392427557461204E-6</v>
      </c>
    </row>
    <row r="34" spans="2:14" x14ac:dyDescent="0.25">
      <c r="B34" s="2" t="s">
        <v>75</v>
      </c>
      <c r="C34" s="19" t="s">
        <v>78</v>
      </c>
      <c r="F34" s="19" t="s">
        <v>81</v>
      </c>
      <c r="J34" s="15" t="s">
        <v>52</v>
      </c>
      <c r="K34" s="45">
        <f>(-2.457*LN((7/K32)^0.9+0.27*K4))^16</f>
        <v>1896129028.0803294</v>
      </c>
      <c r="M34" s="15" t="s">
        <v>52</v>
      </c>
      <c r="N34" s="45">
        <f>(-2.457*LN((7/N32)^0.9+0.27*K4))^16</f>
        <v>3.2455610263723332E+21</v>
      </c>
    </row>
    <row r="35" spans="2:14" x14ac:dyDescent="0.25">
      <c r="B35" s="2" t="s">
        <v>76</v>
      </c>
      <c r="C35" s="19" t="s">
        <v>78</v>
      </c>
      <c r="F35" s="19" t="s">
        <v>82</v>
      </c>
      <c r="J35" s="15" t="s">
        <v>53</v>
      </c>
      <c r="K35" s="45">
        <f>(37530/K32)^16</f>
        <v>4.0884930937972065E+71</v>
      </c>
      <c r="M35" s="15" t="s">
        <v>53</v>
      </c>
      <c r="N35" s="45">
        <f>(37530/N32)^16</f>
        <v>8.9045471802461688E-39</v>
      </c>
    </row>
    <row r="36" spans="2:14" x14ac:dyDescent="0.25">
      <c r="J36" s="15" t="s">
        <v>50</v>
      </c>
      <c r="K36" s="45">
        <f>8*((8/K32)^12 + (K34+K35)^-1.5)^(1/12)</f>
        <v>50.994591112472293</v>
      </c>
      <c r="M36" s="15" t="s">
        <v>50</v>
      </c>
      <c r="N36" s="45">
        <f>8*((8/N32)^12 + (N34+N35)^-1.5)^(1/12)</f>
        <v>1.6374904074619931E-2</v>
      </c>
    </row>
    <row r="37" spans="2:14" x14ac:dyDescent="0.25">
      <c r="B37" s="2" t="s">
        <v>73</v>
      </c>
      <c r="C37" s="31">
        <f>N10</f>
        <v>892.85714285714289</v>
      </c>
      <c r="J37" s="15" t="s">
        <v>48</v>
      </c>
      <c r="K37" s="45">
        <f>IF(K32&lt;=2100,K33,K36)</f>
        <v>50.994591112472293</v>
      </c>
      <c r="M37" s="14" t="s">
        <v>47</v>
      </c>
      <c r="N37" s="45">
        <f>IF(N32&lt;=2100,N33,N36)</f>
        <v>1.6374904074619931E-2</v>
      </c>
    </row>
    <row r="38" spans="2:14" x14ac:dyDescent="0.25">
      <c r="B38" s="2" t="s">
        <v>79</v>
      </c>
      <c r="C38" s="33">
        <f>N7</f>
        <v>1227.4183419132485</v>
      </c>
      <c r="J38" s="15" t="s">
        <v>55</v>
      </c>
      <c r="K38" s="44">
        <f>100*K37*(K8^2)/2/N4/C15/(C9/12)/144</f>
        <v>3.1234202461990389E-5</v>
      </c>
      <c r="M38" s="14" t="s">
        <v>56</v>
      </c>
      <c r="N38" s="44">
        <f>100*N37*(N8^2)/2/N4/G15/(C9/12)/144</f>
        <v>8.7585095909331141</v>
      </c>
    </row>
    <row r="40" spans="2:14" x14ac:dyDescent="0.25">
      <c r="B40" s="17" t="s">
        <v>83</v>
      </c>
      <c r="C40" s="17"/>
      <c r="D40" s="17"/>
      <c r="J40" s="44" t="s">
        <v>64</v>
      </c>
      <c r="M40" s="44" t="s">
        <v>67</v>
      </c>
    </row>
    <row r="41" spans="2:14" x14ac:dyDescent="0.25">
      <c r="B41" s="2" t="s">
        <v>84</v>
      </c>
      <c r="C41" s="38" t="str">
        <f>IF(C37&lt;1000,"Friedel",IF(C38&gt;100,"Chisholm - Baroczy","Lockhart - Martinelli"))</f>
        <v>Friedel</v>
      </c>
      <c r="D41" s="37"/>
      <c r="J41" s="15" t="s">
        <v>65</v>
      </c>
      <c r="K41" s="44">
        <f>1.44 - 0.508*C26  + 0.0579*C26^2 - 0.000376*C26^3 - 0.000444*C26^4</f>
        <v>6.309544648794656</v>
      </c>
      <c r="M41" s="14" t="s">
        <v>65</v>
      </c>
      <c r="N41" s="44">
        <f>1.25-0.458*C26+0.067*C26^2-0.00213*C26^3-0.000585*C26^4</f>
        <v>6.3784881624210188</v>
      </c>
    </row>
    <row r="42" spans="2:14" x14ac:dyDescent="0.25">
      <c r="B42" s="2" t="s">
        <v>45</v>
      </c>
      <c r="C42" s="38">
        <f>IF(C41=B33,C23,IF(C41=B34,G23,C29))</f>
        <v>5.1095265836396297</v>
      </c>
      <c r="D42" s="20" t="s">
        <v>46</v>
      </c>
      <c r="J42" s="15" t="s">
        <v>66</v>
      </c>
      <c r="K42" s="44">
        <f>1.44 +0.492*C26 + 0.0577*C26^2 - 0.000352*C26^3 - 0.000432*C26^4</f>
        <v>4.2314089543082578E-2</v>
      </c>
      <c r="M42" s="14" t="s">
        <v>66</v>
      </c>
      <c r="N42" s="44">
        <f>1.25+0.542*C26+0.067*C26^2-0.00212*C26^3-0.000583*C26^4</f>
        <v>0.10710455536244812</v>
      </c>
    </row>
    <row r="43" spans="2:14" x14ac:dyDescent="0.25">
      <c r="B43" s="49" t="s">
        <v>87</v>
      </c>
      <c r="C43" s="50"/>
      <c r="D43" s="20"/>
    </row>
    <row r="44" spans="2:14" x14ac:dyDescent="0.25">
      <c r="B44" s="2" t="s">
        <v>9</v>
      </c>
      <c r="C44" s="36">
        <f>(C13+G13)/(C13/C15+G13/G15)</f>
        <v>3.800440184009886</v>
      </c>
      <c r="D44" s="20" t="s">
        <v>10</v>
      </c>
      <c r="J44" s="44" t="s">
        <v>68</v>
      </c>
      <c r="M44" s="44" t="s">
        <v>69</v>
      </c>
    </row>
    <row r="45" spans="2:14" x14ac:dyDescent="0.25">
      <c r="B45" s="2" t="s">
        <v>7</v>
      </c>
      <c r="C45" s="34">
        <f>(C13+G13)/(C13/C14+G13/G14)</f>
        <v>1.4001748039755275E-2</v>
      </c>
      <c r="D45" s="20" t="s">
        <v>8</v>
      </c>
      <c r="J45" s="15" t="s">
        <v>65</v>
      </c>
      <c r="K45" s="44">
        <f>1.24-0.484*C26+0.072*C26^2-0.00127*C26^3-0.00071*C26^4</f>
        <v>6.3226279834135104</v>
      </c>
      <c r="M45" s="14" t="s">
        <v>65</v>
      </c>
      <c r="N45" s="44">
        <f>0.979-0.444*C26+0.096*C26^2-0.00245*C26^3-0.00144*C26^4</f>
        <v>5.9163366314548149</v>
      </c>
    </row>
    <row r="46" spans="2:14" x14ac:dyDescent="0.25">
      <c r="B46" s="2" t="s">
        <v>85</v>
      </c>
      <c r="C46" s="35">
        <f>4*(C13+G13)/((C9/12)*PI()*2.4190883*C45)</f>
        <v>8964537.437599903</v>
      </c>
      <c r="D46" s="20"/>
      <c r="J46" s="15" t="s">
        <v>66</v>
      </c>
      <c r="K46" s="44">
        <f>1.24+0.516*C26+0.072*C26^2-0.00126*C26^3-0.000706*C26^4</f>
        <v>5.433935261305245E-2</v>
      </c>
      <c r="M46" s="14" t="s">
        <v>66</v>
      </c>
      <c r="N46" s="44">
        <f>0.979+0.555*C26+0.096*C26^2-0.00244*C26^3-0.00144*C26^4</f>
        <v>-0.35186994057023302</v>
      </c>
    </row>
    <row r="47" spans="2:14" x14ac:dyDescent="0.25">
      <c r="B47" s="2" t="s">
        <v>86</v>
      </c>
      <c r="C47" s="34">
        <f>(C13+G13)/(C44*K3*3600)</f>
        <v>66.150470548407313</v>
      </c>
      <c r="D47" s="20" t="s">
        <v>24</v>
      </c>
    </row>
    <row r="48" spans="2:14" x14ac:dyDescent="0.25">
      <c r="J48" s="15" t="s">
        <v>70</v>
      </c>
      <c r="K48" s="44" t="str">
        <f>IF(K32&gt;2000,IF(N32&gt;2000,"Turbulent - Turbulent","Turbulent - Laminar"),IF(N32&gt;2000,"Laminar - Turbulent","Laminar - Laminar"))</f>
        <v>Laminar - Turbulent</v>
      </c>
    </row>
    <row r="50" spans="10:15" x14ac:dyDescent="0.25">
      <c r="J50" s="15" t="s">
        <v>71</v>
      </c>
      <c r="K50" s="44">
        <f>EXP(C27)^2*K38</f>
        <v>9.6915961723884685</v>
      </c>
      <c r="M50" s="14" t="s">
        <v>72</v>
      </c>
      <c r="N50" s="44">
        <f>EXP(C28)^2*N38</f>
        <v>9.7640225074836167</v>
      </c>
    </row>
    <row r="51" spans="10:15" x14ac:dyDescent="0.25">
      <c r="J51" s="2"/>
      <c r="K51" s="2"/>
      <c r="L51" s="2"/>
      <c r="M51" s="2"/>
      <c r="N51" s="2"/>
      <c r="O51" s="2"/>
    </row>
    <row r="53" spans="10:15" x14ac:dyDescent="0.25">
      <c r="J53" s="2"/>
      <c r="K53" s="2"/>
      <c r="L53" s="2"/>
      <c r="M53" s="2"/>
      <c r="N53" s="2"/>
      <c r="O53" s="2"/>
    </row>
    <row r="55" spans="10:15" x14ac:dyDescent="0.25">
      <c r="J55" s="2"/>
      <c r="K55" s="2"/>
      <c r="L55" s="2"/>
      <c r="M55" s="2"/>
      <c r="N55" s="2"/>
      <c r="O55" s="2"/>
    </row>
  </sheetData>
  <sheetProtection selectLockedCells="1"/>
  <mergeCells count="5">
    <mergeCell ref="B2:H2"/>
    <mergeCell ref="G3:H3"/>
    <mergeCell ref="G4:H4"/>
    <mergeCell ref="G5:H5"/>
    <mergeCell ref="G6:H6"/>
  </mergeCells>
  <hyperlinks>
    <hyperlink ref="B3" r:id="rId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0"/>
  <sheetViews>
    <sheetView showGridLines="0" tabSelected="1" zoomScaleNormal="100" workbookViewId="0"/>
  </sheetViews>
  <sheetFormatPr defaultRowHeight="15" x14ac:dyDescent="0.25"/>
  <cols>
    <col min="1" max="1" width="4.140625" style="13" customWidth="1"/>
    <col min="2" max="2" width="19.7109375" style="2" customWidth="1"/>
    <col min="3" max="3" width="10.28515625" style="2" customWidth="1"/>
    <col min="4" max="4" width="10" style="2" customWidth="1"/>
    <col min="5" max="5" width="3.140625" style="2" customWidth="1"/>
    <col min="6" max="6" width="19.28515625" style="2" customWidth="1"/>
    <col min="7" max="7" width="10.28515625" style="2" customWidth="1"/>
    <col min="8" max="8" width="9.140625" style="2"/>
    <col min="9" max="9" width="9.140625" style="14"/>
    <col min="10" max="10" width="21" style="15" hidden="1" customWidth="1"/>
    <col min="11" max="11" width="10.7109375" style="14" hidden="1" customWidth="1"/>
    <col min="12" max="12" width="0" style="14" hidden="1" customWidth="1"/>
    <col min="13" max="13" width="3.85546875" style="14" hidden="1" customWidth="1"/>
    <col min="14" max="14" width="19.42578125" style="14" hidden="1" customWidth="1"/>
    <col min="15" max="15" width="13.42578125" style="14" hidden="1" customWidth="1"/>
    <col min="16" max="16" width="0" style="14" hidden="1" customWidth="1"/>
    <col min="17" max="17" width="20.28515625" style="14" bestFit="1" customWidth="1"/>
    <col min="18" max="18" width="16.7109375" style="2" bestFit="1" customWidth="1"/>
    <col min="19" max="19" width="9.140625" style="2"/>
    <col min="20" max="20" width="18.5703125" style="2" bestFit="1" customWidth="1"/>
    <col min="21" max="21" width="11.5703125" style="2" customWidth="1"/>
    <col min="22" max="16384" width="9.140625" style="2"/>
  </cols>
  <sheetData>
    <row r="2" spans="1:22" s="6" customFormat="1" ht="19.5" customHeight="1" x14ac:dyDescent="0.25">
      <c r="A2" s="3"/>
      <c r="B2" s="57" t="s">
        <v>89</v>
      </c>
      <c r="C2" s="57"/>
      <c r="D2" s="57"/>
      <c r="E2" s="57"/>
      <c r="F2" s="57"/>
      <c r="G2" s="57"/>
      <c r="H2" s="57"/>
      <c r="I2" s="4"/>
      <c r="J2" s="12" t="s">
        <v>1</v>
      </c>
      <c r="Q2" s="5"/>
      <c r="R2" s="1"/>
      <c r="S2" s="1"/>
      <c r="T2" s="1"/>
      <c r="U2" s="1"/>
      <c r="V2" s="1"/>
    </row>
    <row r="3" spans="1:22" s="7" customFormat="1" ht="15" customHeight="1" x14ac:dyDescent="0.25">
      <c r="B3" s="64" t="s">
        <v>98</v>
      </c>
      <c r="F3" s="8" t="s">
        <v>11</v>
      </c>
      <c r="G3" s="58" t="s">
        <v>12</v>
      </c>
      <c r="H3" s="59"/>
      <c r="I3" s="9"/>
      <c r="J3" s="6" t="s">
        <v>2</v>
      </c>
      <c r="K3" s="51">
        <f>C9/25.4</f>
        <v>4.0259999999999998</v>
      </c>
      <c r="L3" s="47" t="s">
        <v>3</v>
      </c>
      <c r="M3" s="6"/>
      <c r="N3" s="6"/>
      <c r="O3" s="6"/>
      <c r="P3" s="6"/>
    </row>
    <row r="4" spans="1:22" s="7" customFormat="1" x14ac:dyDescent="0.25">
      <c r="B4" s="28" t="s">
        <v>99</v>
      </c>
      <c r="F4" s="8" t="s">
        <v>96</v>
      </c>
      <c r="G4" s="58" t="s">
        <v>19</v>
      </c>
      <c r="H4" s="59"/>
      <c r="I4" s="9"/>
      <c r="J4" s="6" t="s">
        <v>4</v>
      </c>
      <c r="K4" s="52">
        <f>C10/25.4</f>
        <v>1.8E-3</v>
      </c>
      <c r="L4" s="47" t="s">
        <v>3</v>
      </c>
      <c r="M4" s="6"/>
      <c r="N4" s="6"/>
      <c r="O4" s="6"/>
      <c r="P4" s="6"/>
    </row>
    <row r="5" spans="1:22" s="7" customFormat="1" x14ac:dyDescent="0.25">
      <c r="F5" s="8" t="s">
        <v>13</v>
      </c>
      <c r="G5" s="63" t="s">
        <v>100</v>
      </c>
      <c r="H5" s="60"/>
      <c r="I5" s="9"/>
      <c r="J5" s="6"/>
      <c r="K5" s="46"/>
      <c r="L5" s="47"/>
      <c r="M5" s="6"/>
      <c r="N5" s="6"/>
      <c r="O5" s="48"/>
      <c r="P5" s="48"/>
    </row>
    <row r="6" spans="1:22" s="7" customFormat="1" x14ac:dyDescent="0.25">
      <c r="B6" s="11" t="s">
        <v>0</v>
      </c>
      <c r="C6" s="29"/>
      <c r="D6" s="6"/>
      <c r="E6" s="6"/>
      <c r="F6" s="8" t="s">
        <v>14</v>
      </c>
      <c r="G6" s="61" t="s">
        <v>101</v>
      </c>
      <c r="H6" s="62"/>
      <c r="I6" s="9"/>
      <c r="J6" s="12" t="s">
        <v>15</v>
      </c>
      <c r="K6" s="46"/>
      <c r="L6" s="47"/>
      <c r="M6" s="6"/>
      <c r="N6" s="12" t="s">
        <v>18</v>
      </c>
      <c r="O6" s="48"/>
      <c r="P6" s="48"/>
    </row>
    <row r="7" spans="1:22" s="6" customFormat="1" ht="12.75" customHeight="1" x14ac:dyDescent="0.25">
      <c r="A7" s="3"/>
      <c r="I7" s="1"/>
      <c r="J7" s="6" t="s">
        <v>5</v>
      </c>
      <c r="K7" s="53">
        <f>C13*2.2046226</f>
        <v>9.9999999008956184</v>
      </c>
      <c r="L7" s="47" t="s">
        <v>6</v>
      </c>
      <c r="N7" s="6" t="s">
        <v>5</v>
      </c>
      <c r="O7" s="54">
        <f>G13*2.2046226</f>
        <v>80000.000089013993</v>
      </c>
      <c r="P7" s="48" t="s">
        <v>6</v>
      </c>
    </row>
    <row r="8" spans="1:22" s="6" customFormat="1" ht="12.75" customHeight="1" x14ac:dyDescent="0.25">
      <c r="A8" s="3"/>
      <c r="B8" s="12" t="s">
        <v>1</v>
      </c>
      <c r="J8" s="6" t="s">
        <v>7</v>
      </c>
      <c r="K8" s="53">
        <f>C14</f>
        <v>12.5</v>
      </c>
      <c r="L8" s="47" t="s">
        <v>8</v>
      </c>
      <c r="N8" s="6" t="s">
        <v>7</v>
      </c>
      <c r="O8" s="55">
        <f>G14</f>
        <v>1.4E-2</v>
      </c>
      <c r="P8" s="48" t="s">
        <v>8</v>
      </c>
    </row>
    <row r="9" spans="1:22" s="6" customFormat="1" ht="12.75" customHeight="1" x14ac:dyDescent="0.25">
      <c r="A9" s="3"/>
      <c r="B9" s="6" t="s">
        <v>2</v>
      </c>
      <c r="C9" s="22">
        <f>4.026*25.4</f>
        <v>102.26039999999999</v>
      </c>
      <c r="D9" s="21" t="s">
        <v>90</v>
      </c>
      <c r="J9" s="6" t="s">
        <v>9</v>
      </c>
      <c r="K9" s="51">
        <f>C15/16.018463</f>
        <v>51.85</v>
      </c>
      <c r="L9" s="47" t="s">
        <v>10</v>
      </c>
      <c r="N9" s="6" t="s">
        <v>9</v>
      </c>
      <c r="O9" s="54">
        <f>G15/16.018463</f>
        <v>3.8</v>
      </c>
      <c r="P9" s="48" t="s">
        <v>10</v>
      </c>
    </row>
    <row r="10" spans="1:22" s="6" customFormat="1" ht="12.75" customHeight="1" x14ac:dyDescent="0.25">
      <c r="A10" s="3"/>
      <c r="B10" s="6" t="s">
        <v>4</v>
      </c>
      <c r="C10" s="23">
        <f>0.0018*25.4</f>
        <v>4.5719999999999997E-2</v>
      </c>
      <c r="D10" s="21" t="s">
        <v>90</v>
      </c>
      <c r="J10" s="6" t="s">
        <v>16</v>
      </c>
      <c r="K10" s="53">
        <f>C16</f>
        <v>63</v>
      </c>
      <c r="L10" s="47" t="s">
        <v>17</v>
      </c>
      <c r="O10" s="48"/>
      <c r="P10" s="48"/>
    </row>
    <row r="11" spans="1:22" s="6" customFormat="1" ht="12.75" customHeight="1" x14ac:dyDescent="0.25">
      <c r="A11" s="3"/>
      <c r="C11" s="1"/>
      <c r="D11" s="21"/>
    </row>
    <row r="12" spans="1:22" s="6" customFormat="1" ht="12.75" customHeight="1" x14ac:dyDescent="0.25">
      <c r="A12" s="3"/>
      <c r="B12" s="12" t="s">
        <v>15</v>
      </c>
      <c r="C12" s="1"/>
      <c r="D12" s="21"/>
      <c r="F12" s="12" t="s">
        <v>18</v>
      </c>
      <c r="G12" s="1"/>
      <c r="J12" s="10" t="s">
        <v>23</v>
      </c>
      <c r="K12" s="39">
        <f>PI()*(K3/12)^2/4</f>
        <v>8.8404613621557604E-2</v>
      </c>
      <c r="L12" s="9" t="s">
        <v>20</v>
      </c>
      <c r="N12" s="9"/>
      <c r="O12" s="9"/>
      <c r="P12" s="9"/>
    </row>
    <row r="13" spans="1:22" s="6" customFormat="1" ht="12.75" customHeight="1" x14ac:dyDescent="0.25">
      <c r="A13" s="3"/>
      <c r="B13" s="6" t="s">
        <v>5</v>
      </c>
      <c r="C13" s="24">
        <v>4.5359236999999997</v>
      </c>
      <c r="D13" s="21" t="s">
        <v>91</v>
      </c>
      <c r="F13" s="6" t="s">
        <v>5</v>
      </c>
      <c r="G13" s="26">
        <v>36287.39</v>
      </c>
      <c r="H13" s="21" t="s">
        <v>91</v>
      </c>
      <c r="J13" s="10" t="s">
        <v>22</v>
      </c>
      <c r="K13" s="39">
        <f>K4/K3</f>
        <v>4.4709388971684054E-4</v>
      </c>
      <c r="L13" s="9"/>
      <c r="N13" s="9" t="s">
        <v>39</v>
      </c>
      <c r="O13" s="39">
        <v>32.173999999999999</v>
      </c>
      <c r="P13" s="9"/>
    </row>
    <row r="14" spans="1:22" s="6" customFormat="1" ht="12.75" customHeight="1" x14ac:dyDescent="0.25">
      <c r="A14" s="3"/>
      <c r="B14" s="6" t="s">
        <v>7</v>
      </c>
      <c r="C14" s="26">
        <v>12.5</v>
      </c>
      <c r="D14" s="21" t="s">
        <v>8</v>
      </c>
      <c r="F14" s="6" t="s">
        <v>7</v>
      </c>
      <c r="G14" s="27">
        <v>1.4E-2</v>
      </c>
      <c r="H14" s="21" t="s">
        <v>8</v>
      </c>
      <c r="J14" s="10" t="s">
        <v>21</v>
      </c>
      <c r="K14" s="39">
        <f>((K7/K9)/3600)/K12</f>
        <v>6.06001646061929E-4</v>
      </c>
      <c r="L14" s="9" t="s">
        <v>24</v>
      </c>
      <c r="N14" s="10" t="s">
        <v>25</v>
      </c>
      <c r="O14" s="39">
        <f>((O7/O9)/3600)/K12</f>
        <v>66.149864620358542</v>
      </c>
      <c r="P14" s="9" t="s">
        <v>24</v>
      </c>
    </row>
    <row r="15" spans="1:22" s="6" customFormat="1" ht="12.75" customHeight="1" x14ac:dyDescent="0.25">
      <c r="A15" s="3"/>
      <c r="B15" s="6" t="s">
        <v>9</v>
      </c>
      <c r="C15" s="27">
        <v>830.55730655000002</v>
      </c>
      <c r="D15" s="21" t="s">
        <v>92</v>
      </c>
      <c r="F15" s="6" t="s">
        <v>9</v>
      </c>
      <c r="G15" s="25">
        <v>60.870159399999999</v>
      </c>
      <c r="H15" s="21" t="s">
        <v>92</v>
      </c>
      <c r="J15" s="7" t="s">
        <v>26</v>
      </c>
      <c r="K15" s="40">
        <f>1488.1639*(K3/12)*K9*K14/K8</f>
        <v>1.2550350109283748</v>
      </c>
      <c r="L15" s="7"/>
      <c r="N15" s="9" t="s">
        <v>27</v>
      </c>
      <c r="O15" s="56">
        <f>1488.1639*(K3/12)*O9*O14/O8</f>
        <v>8964535.8911626283</v>
      </c>
      <c r="P15" s="9"/>
    </row>
    <row r="16" spans="1:22" s="6" customFormat="1" ht="12.75" customHeight="1" x14ac:dyDescent="0.25">
      <c r="A16" s="3"/>
      <c r="B16" s="6" t="s">
        <v>16</v>
      </c>
      <c r="C16" s="25">
        <v>63</v>
      </c>
      <c r="D16" s="21" t="s">
        <v>17</v>
      </c>
      <c r="J16" s="5" t="s">
        <v>28</v>
      </c>
      <c r="K16" s="41">
        <f>(K7+O7)/K12/3600</f>
        <v>251.40090674271076</v>
      </c>
      <c r="L16" s="1"/>
      <c r="N16" s="1" t="s">
        <v>29</v>
      </c>
      <c r="O16" s="41">
        <f>K16*(3.2808^2)/2.20462</f>
        <v>1227.418343277275</v>
      </c>
      <c r="P16" s="1"/>
    </row>
    <row r="17" spans="2:16" ht="30" x14ac:dyDescent="0.25">
      <c r="J17" s="5" t="s">
        <v>30</v>
      </c>
      <c r="K17" s="41">
        <f>K7/K12/3600</f>
        <v>3.1421185348311023E-2</v>
      </c>
      <c r="L17" s="1"/>
      <c r="N17" s="1" t="s">
        <v>31</v>
      </c>
      <c r="O17" s="41">
        <f>O7/K12/3600</f>
        <v>251.36948555736242</v>
      </c>
      <c r="P17" s="1"/>
    </row>
    <row r="18" spans="2:16" x14ac:dyDescent="0.25">
      <c r="B18" s="17" t="s">
        <v>36</v>
      </c>
      <c r="C18" s="17"/>
      <c r="D18" s="17"/>
      <c r="F18" s="17" t="s">
        <v>54</v>
      </c>
      <c r="G18" s="17"/>
      <c r="H18" s="17"/>
      <c r="J18" s="5" t="s">
        <v>32</v>
      </c>
      <c r="K18" s="41">
        <f>(O7+K7)/(O7/O9+K7/K9)</f>
        <v>3.8004401840050339</v>
      </c>
      <c r="L18" s="1"/>
      <c r="N18" s="1" t="s">
        <v>33</v>
      </c>
      <c r="O18" s="41">
        <f>K7+O7</f>
        <v>80010.000088914894</v>
      </c>
      <c r="P18" s="1"/>
    </row>
    <row r="19" spans="2:16" x14ac:dyDescent="0.25">
      <c r="B19" s="6" t="s">
        <v>37</v>
      </c>
      <c r="C19" s="30">
        <f>(K16^2)/(32.2*(K18^2)*(K3/12))</f>
        <v>405.05824842061014</v>
      </c>
      <c r="F19" s="2" t="s">
        <v>57</v>
      </c>
      <c r="G19" s="31">
        <f>(O34/K34)^0.5</f>
        <v>2.65309942893402</v>
      </c>
      <c r="J19" s="5" t="s">
        <v>34</v>
      </c>
      <c r="K19" s="41">
        <f>O7/O18</f>
        <v>0.9998750156244246</v>
      </c>
      <c r="L19" s="1"/>
      <c r="N19" s="1" t="s">
        <v>35</v>
      </c>
      <c r="O19" s="41">
        <f>K8/O8</f>
        <v>892.85714285714289</v>
      </c>
      <c r="P19" s="1"/>
    </row>
    <row r="20" spans="2:16" x14ac:dyDescent="0.25">
      <c r="B20" s="6" t="s">
        <v>38</v>
      </c>
      <c r="C20" s="32">
        <f>(K3/12)*(K16^2)/(O13*K18*K10*0.000002248089*2.54*12)</f>
        <v>40171.517000199332</v>
      </c>
      <c r="F20" s="2" t="s">
        <v>53</v>
      </c>
      <c r="G20" s="33">
        <f>IF(AND((G19&gt;0),(G19&lt;9.5)),K36,IF(G19&lt;28,K37,K38))</f>
        <v>1.5698797403114926</v>
      </c>
      <c r="J20" s="5"/>
      <c r="K20" s="1"/>
      <c r="L20" s="1"/>
      <c r="N20" s="1"/>
      <c r="O20" s="1"/>
      <c r="P20" s="1"/>
    </row>
    <row r="21" spans="2:16" x14ac:dyDescent="0.25">
      <c r="B21" s="2" t="s">
        <v>43</v>
      </c>
      <c r="C21" s="33">
        <f>(1-K19)^2+K19^2*(K9*O26/O9/K26)</f>
        <v>3.6406222279531537</v>
      </c>
      <c r="F21" s="2" t="s">
        <v>61</v>
      </c>
      <c r="G21" s="33">
        <v>0.25</v>
      </c>
      <c r="P21" s="1"/>
    </row>
    <row r="22" spans="2:16" x14ac:dyDescent="0.25">
      <c r="B22" s="2" t="s">
        <v>44</v>
      </c>
      <c r="C22" s="33">
        <f>C21+3.24*(K19^0.78)*(1-K19)^0.24*(K9/O9)^0.91*(O8/K8)^0.19*(1-O8/K8)^0.7*C19^-0.045*C20^-0.035</f>
        <v>4.2255492220463431</v>
      </c>
      <c r="F22" s="2" t="s">
        <v>44</v>
      </c>
      <c r="G22" s="33">
        <f>1+(G19^2-1)*(G20*(K19^((2-G21)/2))*((1-K19)^((2-G21)/2))+K19^(2-G21)       )</f>
        <v>7.0412593678281139</v>
      </c>
      <c r="J22" s="16" t="s">
        <v>40</v>
      </c>
      <c r="K22" s="1"/>
      <c r="L22" s="1"/>
      <c r="N22" s="1"/>
      <c r="O22" s="1"/>
      <c r="P22" s="1"/>
    </row>
    <row r="23" spans="2:16" x14ac:dyDescent="0.25">
      <c r="B23" s="2" t="s">
        <v>45</v>
      </c>
      <c r="C23" s="33">
        <f>(100*C22*K26*(K16^2)/2/O13/K9/(K3/12)/144)/(14.503774*0.3048)</f>
        <v>1.1558052881930481</v>
      </c>
      <c r="D23" s="20" t="s">
        <v>93</v>
      </c>
      <c r="F23" s="2" t="s">
        <v>45</v>
      </c>
      <c r="G23" s="33">
        <f>(100*G22*K33*(K16^2)/2/O13/K9/(K3/12)/144)/(14.503774*0.3048)</f>
        <v>1.9823749518090739</v>
      </c>
      <c r="H23" s="20" t="s">
        <v>93</v>
      </c>
      <c r="J23" s="6" t="s">
        <v>42</v>
      </c>
      <c r="K23" s="42">
        <f>4*O18/((K3/12)*PI()*2.4190883*K8)</f>
        <v>10041.535570697308</v>
      </c>
      <c r="L23" s="1"/>
      <c r="N23" s="5" t="s">
        <v>41</v>
      </c>
      <c r="O23" s="43">
        <f>4*O18/((K3/12)*PI()*2.4190883*O8)</f>
        <v>8965656.7595511675</v>
      </c>
      <c r="P23" s="1"/>
    </row>
    <row r="24" spans="2:16" x14ac:dyDescent="0.25">
      <c r="J24" s="5" t="s">
        <v>49</v>
      </c>
      <c r="K24" s="41">
        <f>64/K23</f>
        <v>6.3735271910763834E-3</v>
      </c>
      <c r="L24" s="1"/>
      <c r="N24" s="5" t="s">
        <v>49</v>
      </c>
      <c r="O24" s="41">
        <f>64/O23</f>
        <v>7.1383504540055491E-6</v>
      </c>
      <c r="P24" s="1"/>
    </row>
    <row r="25" spans="2:16" x14ac:dyDescent="0.25">
      <c r="B25" s="17" t="s">
        <v>63</v>
      </c>
      <c r="C25" s="17"/>
      <c r="D25" s="17"/>
      <c r="J25" s="5" t="s">
        <v>50</v>
      </c>
      <c r="K25" s="41">
        <f>(0.86859*LN(K23/ (1.964*LN(K23)-3.8215)))^-2</f>
        <v>3.08391677758094E-2</v>
      </c>
      <c r="L25" s="1"/>
      <c r="N25" s="5" t="s">
        <v>50</v>
      </c>
      <c r="O25" s="41">
        <f>(0.86859*LN(O23/ (1.964*LN(O23)-3.8215)))^-2</f>
        <v>8.2304137271211209E-3</v>
      </c>
      <c r="P25" s="1"/>
    </row>
    <row r="26" spans="2:16" x14ac:dyDescent="0.25">
      <c r="B26" s="2" t="s">
        <v>34</v>
      </c>
      <c r="C26" s="31">
        <f>LN(SQRT(K47/O47))</f>
        <v>-6.2720112976995068</v>
      </c>
      <c r="J26" s="5" t="s">
        <v>48</v>
      </c>
      <c r="K26" s="41">
        <f>IF(K23&lt;=1055,K24,K25)</f>
        <v>3.08391677758094E-2</v>
      </c>
      <c r="L26" s="1"/>
      <c r="N26" s="1" t="s">
        <v>47</v>
      </c>
      <c r="O26" s="41">
        <f>IF(O23&lt;=1055,O24,O25)</f>
        <v>8.2304137271211209E-3</v>
      </c>
    </row>
    <row r="27" spans="2:16" x14ac:dyDescent="0.25">
      <c r="B27" s="2" t="s">
        <v>65</v>
      </c>
      <c r="C27" s="33">
        <f>IF(K57=J49,K50,IF(K57=N49,O50,IF(K57=J53,K54,O54)))</f>
        <v>6.3226279884859196</v>
      </c>
    </row>
    <row r="28" spans="2:16" x14ac:dyDescent="0.25">
      <c r="B28" s="2" t="s">
        <v>66</v>
      </c>
      <c r="C28" s="33">
        <f>IF(K57=J49,K51,IF(K57=N49,O51,IF(K57=J53,K55,O55)))</f>
        <v>5.4339351637216371E-2</v>
      </c>
      <c r="J28" s="18" t="s">
        <v>97</v>
      </c>
    </row>
    <row r="29" spans="2:16" x14ac:dyDescent="0.25">
      <c r="B29" s="2" t="s">
        <v>45</v>
      </c>
      <c r="C29" s="33">
        <f>(IF(K59&gt;O59,K59,O59))/(14.503774*0.3048)</f>
        <v>2.208679933025842</v>
      </c>
      <c r="D29" s="20" t="s">
        <v>93</v>
      </c>
      <c r="J29" s="15" t="s">
        <v>49</v>
      </c>
      <c r="K29" s="44">
        <f>64/K23</f>
        <v>6.3735271910763834E-3</v>
      </c>
      <c r="N29" s="15" t="s">
        <v>49</v>
      </c>
      <c r="O29" s="44">
        <f>64/O23</f>
        <v>7.1383504540055491E-6</v>
      </c>
    </row>
    <row r="30" spans="2:16" x14ac:dyDescent="0.25">
      <c r="J30" s="15" t="s">
        <v>52</v>
      </c>
      <c r="K30" s="45">
        <f>(-2.457*LN((7/K23)^0.9+0.27*K13))^16</f>
        <v>1.627897741489194E+19</v>
      </c>
      <c r="N30" s="15" t="s">
        <v>52</v>
      </c>
      <c r="O30" s="45">
        <f>(-2.457*LN((7/O23)^0.9+0.27*K13))^16</f>
        <v>3.2455777257858222E+21</v>
      </c>
    </row>
    <row r="31" spans="2:16" x14ac:dyDescent="0.25">
      <c r="B31" s="17" t="s">
        <v>88</v>
      </c>
      <c r="C31" s="17"/>
      <c r="D31" s="17"/>
      <c r="J31" s="15" t="s">
        <v>53</v>
      </c>
      <c r="K31" s="45">
        <f>(37530/K23)^16</f>
        <v>1449622543.4591298</v>
      </c>
      <c r="N31" s="15" t="s">
        <v>53</v>
      </c>
      <c r="O31" s="45">
        <f>(37530/O23)^16</f>
        <v>8.8867568358519831E-39</v>
      </c>
    </row>
    <row r="32" spans="2:16" x14ac:dyDescent="0.25">
      <c r="B32" s="2" t="s">
        <v>74</v>
      </c>
      <c r="C32" s="2" t="s">
        <v>73</v>
      </c>
      <c r="F32" s="2" t="s">
        <v>79</v>
      </c>
      <c r="J32" s="15" t="s">
        <v>50</v>
      </c>
      <c r="K32" s="45">
        <f>8*((8/K23)^12 + (K30+K31)^-1.5)^(1/12)</f>
        <v>3.1742168817282153E-2</v>
      </c>
      <c r="N32" s="15" t="s">
        <v>50</v>
      </c>
      <c r="O32" s="45">
        <f>8*((8/O23)^12 + (O30+O31)^-1.5)^(1/12)</f>
        <v>1.6374893542908293E-2</v>
      </c>
    </row>
    <row r="33" spans="2:15" x14ac:dyDescent="0.25">
      <c r="B33" s="2" t="s">
        <v>40</v>
      </c>
      <c r="C33" s="19" t="s">
        <v>77</v>
      </c>
      <c r="F33" s="2" t="s">
        <v>80</v>
      </c>
      <c r="J33" s="15" t="s">
        <v>48</v>
      </c>
      <c r="K33" s="45">
        <f>IF(K23&lt;=2100,K29,K32)</f>
        <v>3.1742168817282153E-2</v>
      </c>
      <c r="N33" s="14" t="s">
        <v>47</v>
      </c>
      <c r="O33" s="45">
        <f>IF(O23&lt;=2100,O29,O32)</f>
        <v>1.6374893542908293E-2</v>
      </c>
    </row>
    <row r="34" spans="2:15" x14ac:dyDescent="0.25">
      <c r="B34" s="2" t="s">
        <v>75</v>
      </c>
      <c r="C34" s="19" t="s">
        <v>78</v>
      </c>
      <c r="F34" s="19" t="s">
        <v>81</v>
      </c>
      <c r="J34" s="15" t="s">
        <v>55</v>
      </c>
      <c r="K34" s="44">
        <f>100*K33*(K16^2)/2/O13/K9/(K3/12)/144</f>
        <v>1.2446047269748124</v>
      </c>
      <c r="N34" s="14" t="s">
        <v>56</v>
      </c>
      <c r="O34" s="44">
        <f>100*O33*(K16^2)/2/O13/O9/(K3/12)/144</f>
        <v>8.760693740107472</v>
      </c>
    </row>
    <row r="35" spans="2:15" x14ac:dyDescent="0.25">
      <c r="B35" s="2" t="s">
        <v>76</v>
      </c>
      <c r="C35" s="19" t="s">
        <v>78</v>
      </c>
      <c r="F35" s="19" t="s">
        <v>82</v>
      </c>
    </row>
    <row r="36" spans="2:15" x14ac:dyDescent="0.25">
      <c r="J36" s="15" t="s">
        <v>58</v>
      </c>
      <c r="K36" s="44">
        <f>55/(O16^0.5)</f>
        <v>1.5698797403114926</v>
      </c>
    </row>
    <row r="37" spans="2:15" x14ac:dyDescent="0.25">
      <c r="B37" s="2" t="s">
        <v>73</v>
      </c>
      <c r="C37" s="31">
        <f>O19</f>
        <v>892.85714285714289</v>
      </c>
      <c r="J37" s="15" t="s">
        <v>59</v>
      </c>
      <c r="K37" s="44">
        <f>520/(G19*O16^0.5)</f>
        <v>5.5943999689859121</v>
      </c>
    </row>
    <row r="38" spans="2:15" x14ac:dyDescent="0.25">
      <c r="B38" s="2" t="s">
        <v>79</v>
      </c>
      <c r="C38" s="33">
        <f>O16</f>
        <v>1227.418343277275</v>
      </c>
      <c r="J38" s="15" t="s">
        <v>60</v>
      </c>
      <c r="K38" s="44">
        <f>15000/(G19^2*O16^0.5)</f>
        <v>60.825810153343937</v>
      </c>
    </row>
    <row r="40" spans="2:15" x14ac:dyDescent="0.25">
      <c r="B40" s="17" t="s">
        <v>83</v>
      </c>
      <c r="C40" s="17"/>
      <c r="D40" s="17"/>
      <c r="J40" s="18" t="s">
        <v>62</v>
      </c>
    </row>
    <row r="41" spans="2:15" x14ac:dyDescent="0.25">
      <c r="B41" s="2" t="s">
        <v>84</v>
      </c>
      <c r="C41" s="38" t="str">
        <f>IF(C37&lt;1000,"Friedel",IF(C38&gt;100,"Chisholm - Baroczy","Lockhart - Martinelli"))</f>
        <v>Friedel</v>
      </c>
      <c r="D41" s="37"/>
      <c r="J41" s="15" t="s">
        <v>42</v>
      </c>
      <c r="K41" s="44">
        <f>4*K7/((K3/12)*PI()*2.4190883*K8)</f>
        <v>1.2550350531211298</v>
      </c>
      <c r="N41" s="14" t="s">
        <v>41</v>
      </c>
      <c r="O41" s="44">
        <f>4*O7/((K3/12)*PI()*2.4190883*O8)</f>
        <v>8964536.1925394516</v>
      </c>
    </row>
    <row r="42" spans="2:15" x14ac:dyDescent="0.25">
      <c r="B42" s="2" t="s">
        <v>45</v>
      </c>
      <c r="C42" s="38">
        <f>IF(C41=B33,C23,IF(C41=B34,G23,C29))</f>
        <v>1.1558052881930481</v>
      </c>
      <c r="D42" s="20" t="s">
        <v>93</v>
      </c>
      <c r="J42" s="15" t="s">
        <v>49</v>
      </c>
      <c r="K42" s="44">
        <f>64/K41</f>
        <v>50.994591617851036</v>
      </c>
      <c r="N42" s="15" t="s">
        <v>49</v>
      </c>
      <c r="O42" s="44">
        <f>64/O41</f>
        <v>7.139242747802465E-6</v>
      </c>
    </row>
    <row r="43" spans="2:15" x14ac:dyDescent="0.25">
      <c r="B43" s="49" t="s">
        <v>87</v>
      </c>
      <c r="C43" s="50"/>
      <c r="D43" s="20"/>
      <c r="J43" s="15" t="s">
        <v>52</v>
      </c>
      <c r="K43" s="45">
        <f>(-2.457*LN((7/K41)^0.9+0.27*K13))^16</f>
        <v>1896129203.0047667</v>
      </c>
      <c r="N43" s="15" t="s">
        <v>52</v>
      </c>
      <c r="O43" s="45">
        <f>(-2.457*LN((7/O41)^0.9+0.27*K13))^16</f>
        <v>3.2455610265209966E+21</v>
      </c>
    </row>
    <row r="44" spans="2:15" x14ac:dyDescent="0.25">
      <c r="B44" s="2" t="s">
        <v>9</v>
      </c>
      <c r="C44" s="36">
        <f>(C13+G13)/(C13/C15+G13/G15)</f>
        <v>60.877210471197834</v>
      </c>
      <c r="D44" s="20" t="s">
        <v>94</v>
      </c>
      <c r="J44" s="15" t="s">
        <v>53</v>
      </c>
      <c r="K44" s="45">
        <f>(37530/K41)^16</f>
        <v>4.088493742097387E+71</v>
      </c>
      <c r="N44" s="15" t="s">
        <v>53</v>
      </c>
      <c r="O44" s="45">
        <f>(37530/O41)^16</f>
        <v>8.9045470217203425E-39</v>
      </c>
    </row>
    <row r="45" spans="2:15" x14ac:dyDescent="0.25">
      <c r="B45" s="2" t="s">
        <v>7</v>
      </c>
      <c r="C45" s="34">
        <f>(K7+O7)/(K7/K8+O7/O8)</f>
        <v>1.4001748039736006E-2</v>
      </c>
      <c r="D45" s="20" t="s">
        <v>8</v>
      </c>
      <c r="J45" s="15" t="s">
        <v>50</v>
      </c>
      <c r="K45" s="45">
        <f>8*((8/K41)^12 + (K43+K44)^-1.5)^(1/12)</f>
        <v>50.994591617851029</v>
      </c>
      <c r="N45" s="15" t="s">
        <v>50</v>
      </c>
      <c r="O45" s="45">
        <f>8*((8/O41)^12 + (O43+O44)^-1.5)^(1/12)</f>
        <v>1.637490407452618E-2</v>
      </c>
    </row>
    <row r="46" spans="2:15" x14ac:dyDescent="0.25">
      <c r="B46" s="2" t="s">
        <v>85</v>
      </c>
      <c r="C46" s="35">
        <f>4*(K7+O7)/((K3/12)*PI()*2.4190883*C45)</f>
        <v>8964537.4475745074</v>
      </c>
      <c r="D46" s="20"/>
      <c r="J46" s="15" t="s">
        <v>48</v>
      </c>
      <c r="K46" s="45">
        <f>IF(K41&lt;=2100,K42,K45)</f>
        <v>50.994591617851036</v>
      </c>
      <c r="N46" s="14" t="s">
        <v>47</v>
      </c>
      <c r="O46" s="45">
        <f>IF(O41&lt;=2100,O42,O45)</f>
        <v>1.637490407452618E-2</v>
      </c>
    </row>
    <row r="47" spans="2:15" x14ac:dyDescent="0.25">
      <c r="B47" s="2" t="s">
        <v>86</v>
      </c>
      <c r="C47" s="34">
        <f>(C13+G13)/(C44*K12*3600*0.3048^2)</f>
        <v>20.162664116116691</v>
      </c>
      <c r="D47" s="20" t="s">
        <v>95</v>
      </c>
      <c r="J47" s="15" t="s">
        <v>55</v>
      </c>
      <c r="K47" s="44">
        <f>100*K46*(K17^2)/2/O13/K9/(K3/12)/144</f>
        <v>3.123420215244577E-5</v>
      </c>
      <c r="N47" s="14" t="s">
        <v>56</v>
      </c>
      <c r="O47" s="44">
        <f>100*O46*(O17^2)/2/O13/O9/(K3/12)/144</f>
        <v>8.7585096103737143</v>
      </c>
    </row>
    <row r="49" spans="10:15" x14ac:dyDescent="0.25">
      <c r="J49" s="44" t="s">
        <v>64</v>
      </c>
      <c r="N49" s="44" t="s">
        <v>67</v>
      </c>
    </row>
    <row r="50" spans="10:15" x14ac:dyDescent="0.25">
      <c r="J50" s="15" t="s">
        <v>65</v>
      </c>
      <c r="K50" s="44">
        <f>1.44 - 0.508*C26  + 0.0579*C26^2 - 0.000376*C26^3 - 0.000444*C26^4</f>
        <v>6.3095446538922024</v>
      </c>
      <c r="N50" s="14" t="s">
        <v>65</v>
      </c>
      <c r="O50" s="44">
        <f>1.25-0.458*C26+0.067*C26^2-0.00213*C26^3-0.000585*C26^4</f>
        <v>6.3784881683191026</v>
      </c>
    </row>
    <row r="51" spans="10:15" x14ac:dyDescent="0.25">
      <c r="J51" s="15" t="s">
        <v>66</v>
      </c>
      <c r="K51" s="44">
        <f>1.44 +0.492*C26 + 0.0577*C26^2 - 0.000352*C26^3 - 0.000432*C26^4</f>
        <v>4.2314088615030832E-2</v>
      </c>
      <c r="N51" s="14" t="s">
        <v>66</v>
      </c>
      <c r="O51" s="44">
        <f>1.25+0.542*C26+0.067*C26^2-0.00212*C26^3-0.000583*C26^4</f>
        <v>0.10710455520031503</v>
      </c>
    </row>
    <row r="53" spans="10:15" x14ac:dyDescent="0.25">
      <c r="J53" s="44" t="s">
        <v>68</v>
      </c>
      <c r="N53" s="44" t="s">
        <v>69</v>
      </c>
    </row>
    <row r="54" spans="10:15" x14ac:dyDescent="0.25">
      <c r="J54" s="15" t="s">
        <v>65</v>
      </c>
      <c r="K54" s="44">
        <f>1.24-0.484*C26+0.072*C26^2-0.00127*C26^3-0.00071*C26^4</f>
        <v>6.3226279884859196</v>
      </c>
      <c r="N54" s="14" t="s">
        <v>65</v>
      </c>
      <c r="O54" s="44">
        <f>0.979-0.444*C26+0.096*C26^2-0.00245*C26^3-0.00144*C26^4</f>
        <v>5.9163366345855941</v>
      </c>
    </row>
    <row r="55" spans="10:15" x14ac:dyDescent="0.25">
      <c r="J55" s="15" t="s">
        <v>66</v>
      </c>
      <c r="K55" s="44">
        <f>1.24+0.516*C26+0.072*C26^2-0.00126*C26^3-0.000706*C26^4</f>
        <v>5.4339351637216371E-2</v>
      </c>
      <c r="N55" s="14" t="s">
        <v>66</v>
      </c>
      <c r="O55" s="44">
        <f>0.979+0.555*C26+0.096*C26^2-0.00244*C26^3-0.00144*C26^4</f>
        <v>-0.35186994350557965</v>
      </c>
    </row>
    <row r="57" spans="10:15" x14ac:dyDescent="0.25">
      <c r="J57" s="15" t="s">
        <v>70</v>
      </c>
      <c r="K57" s="44" t="str">
        <f>IF(K41&gt;2000,IF(O41&gt;2000,"Turbulent - Turbulent","Turbulent - Laminar"),IF(O41&gt;2000,"Laminar - Turbulent","Laminar - Laminar"))</f>
        <v>Laminar - Turbulent</v>
      </c>
    </row>
    <row r="59" spans="10:15" x14ac:dyDescent="0.25">
      <c r="J59" s="15" t="s">
        <v>71</v>
      </c>
      <c r="K59" s="44">
        <f>EXP(C27)^2*K47</f>
        <v>9.6915961746599901</v>
      </c>
      <c r="N59" s="14" t="s">
        <v>72</v>
      </c>
      <c r="O59" s="44">
        <f>EXP(C28)^2*O47</f>
        <v>9.7640225100999061</v>
      </c>
    </row>
    <row r="60" spans="10:15" x14ac:dyDescent="0.25">
      <c r="J60" s="2"/>
      <c r="K60" s="2"/>
      <c r="L60" s="2"/>
      <c r="M60" s="2"/>
      <c r="N60" s="2"/>
      <c r="O60" s="2"/>
    </row>
  </sheetData>
  <sheetProtection selectLockedCells="1"/>
  <mergeCells count="5">
    <mergeCell ref="B2:H2"/>
    <mergeCell ref="G3:H3"/>
    <mergeCell ref="G4:H4"/>
    <mergeCell ref="G5:H5"/>
    <mergeCell ref="G6:H6"/>
  </mergeCells>
  <hyperlinks>
    <hyperlink ref="B3" r:id="rId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</vt:lpstr>
      <vt:lpstr>Metric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Aarav</dc:creator>
  <cp:lastModifiedBy>Aarav</cp:lastModifiedBy>
  <cp:lastPrinted>2014-06-04T16:09:33Z</cp:lastPrinted>
  <dcterms:created xsi:type="dcterms:W3CDTF">2014-06-01T06:18:16Z</dcterms:created>
  <dcterms:modified xsi:type="dcterms:W3CDTF">2015-08-30T15:55:30Z</dcterms:modified>
</cp:coreProperties>
</file>