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0245" windowHeight="8055" activeTab="1"/>
  </bookViews>
  <sheets>
    <sheet name="English" sheetId="6" r:id="rId1"/>
    <sheet name="Metric" sheetId="7" r:id="rId2"/>
  </sheets>
  <definedNames>
    <definedName name="_xlnm.Print_Area" localSheetId="0">English!$A$1:$H$30</definedName>
    <definedName name="_xlnm.Print_Area" localSheetId="1">Metric!$A$1:$H$30</definedName>
  </definedNames>
  <calcPr calcId="145621"/>
</workbook>
</file>

<file path=xl/calcChain.xml><?xml version="1.0" encoding="utf-8"?>
<calcChain xmlns="http://schemas.openxmlformats.org/spreadsheetml/2006/main">
  <c r="AA10" i="7" l="1"/>
  <c r="Z10" i="7"/>
  <c r="AA39" i="7"/>
  <c r="Z39" i="7"/>
  <c r="AA38" i="7"/>
  <c r="Z38" i="7"/>
  <c r="AA37" i="7"/>
  <c r="Z37" i="7"/>
  <c r="AA36" i="7"/>
  <c r="Z36" i="7"/>
  <c r="AA35" i="7"/>
  <c r="Z35" i="7"/>
  <c r="AA34" i="7"/>
  <c r="Z34" i="7"/>
  <c r="AA33" i="7"/>
  <c r="Z33" i="7"/>
  <c r="AA32" i="7"/>
  <c r="Z32" i="7"/>
  <c r="AA31" i="7"/>
  <c r="Z31" i="7"/>
  <c r="AA30" i="7"/>
  <c r="Z30" i="7"/>
  <c r="AA29" i="7"/>
  <c r="Z29" i="7"/>
  <c r="AA28" i="7"/>
  <c r="Z28" i="7"/>
  <c r="AA27" i="7"/>
  <c r="Z27" i="7"/>
  <c r="AA26" i="7"/>
  <c r="Z26" i="7"/>
  <c r="AA25" i="7"/>
  <c r="Z25" i="7"/>
  <c r="AA24" i="7"/>
  <c r="Z24" i="7"/>
  <c r="AA23" i="7"/>
  <c r="Z23" i="7"/>
  <c r="AA22" i="7"/>
  <c r="Z22" i="7"/>
  <c r="AA21" i="7"/>
  <c r="Z21" i="7"/>
  <c r="AA20" i="7"/>
  <c r="Z20" i="7"/>
  <c r="AA19" i="7"/>
  <c r="Z19" i="7"/>
  <c r="AA18" i="7"/>
  <c r="Z18" i="7"/>
  <c r="AA17" i="7"/>
  <c r="Z17" i="7"/>
  <c r="AA16" i="7"/>
  <c r="Z16" i="7"/>
  <c r="AA15" i="7"/>
  <c r="Z15" i="7"/>
  <c r="AA14" i="7"/>
  <c r="Z14" i="7"/>
  <c r="AA13" i="7"/>
  <c r="Z13" i="7"/>
  <c r="AA12" i="7"/>
  <c r="Z12" i="7"/>
  <c r="AA11" i="7"/>
  <c r="Z11" i="7"/>
  <c r="AA39" i="6"/>
  <c r="Z39" i="6"/>
  <c r="AA38" i="6"/>
  <c r="Z38" i="6"/>
  <c r="AA37" i="6"/>
  <c r="Z37" i="6"/>
  <c r="AA36" i="6"/>
  <c r="Z36" i="6"/>
  <c r="AA35" i="6"/>
  <c r="Z35" i="6"/>
  <c r="AA34" i="6"/>
  <c r="Z34" i="6"/>
  <c r="AA33" i="6"/>
  <c r="Z33" i="6"/>
  <c r="AA32" i="6"/>
  <c r="Z32" i="6"/>
  <c r="AA31" i="6"/>
  <c r="Z31" i="6"/>
  <c r="AA30" i="6"/>
  <c r="Z30" i="6"/>
  <c r="AA29" i="6"/>
  <c r="Z29" i="6"/>
  <c r="AA28" i="6"/>
  <c r="Z28" i="6"/>
  <c r="AA27" i="6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A20" i="6"/>
  <c r="Z20" i="6"/>
  <c r="AA19" i="6"/>
  <c r="Z19" i="6"/>
  <c r="AA18" i="6"/>
  <c r="Z18" i="6"/>
  <c r="AA17" i="6"/>
  <c r="Z17" i="6"/>
  <c r="AA16" i="6"/>
  <c r="Z16" i="6"/>
  <c r="AA15" i="6"/>
  <c r="Z15" i="6"/>
  <c r="AA14" i="6"/>
  <c r="Z14" i="6"/>
  <c r="AA13" i="6"/>
  <c r="Z13" i="6"/>
  <c r="AA12" i="6"/>
  <c r="Z12" i="6"/>
  <c r="AA11" i="6"/>
  <c r="Z11" i="6"/>
  <c r="AA10" i="6"/>
  <c r="Z10" i="6"/>
  <c r="P11" i="7" l="1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10" i="7"/>
  <c r="K10" i="6"/>
  <c r="O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10" i="6"/>
  <c r="M73" i="7" l="1"/>
  <c r="M44" i="7"/>
  <c r="M72" i="7"/>
  <c r="G13" i="7"/>
  <c r="Q69" i="7" s="1"/>
  <c r="M71" i="7"/>
  <c r="N31" i="7" s="1"/>
  <c r="M70" i="7"/>
  <c r="M32" i="7" s="1"/>
  <c r="M69" i="7"/>
  <c r="M68" i="7"/>
  <c r="M67" i="7"/>
  <c r="M34" i="7"/>
  <c r="N26" i="7"/>
  <c r="R5" i="7"/>
  <c r="U3" i="7"/>
  <c r="R3" i="7"/>
  <c r="X10" i="7" l="1"/>
  <c r="N15" i="7"/>
  <c r="N18" i="7"/>
  <c r="N35" i="7"/>
  <c r="N23" i="7"/>
  <c r="N37" i="7"/>
  <c r="M54" i="7"/>
  <c r="M38" i="7"/>
  <c r="N11" i="7"/>
  <c r="N19" i="7"/>
  <c r="N27" i="7"/>
  <c r="N39" i="7"/>
  <c r="N14" i="7"/>
  <c r="N22" i="7"/>
  <c r="M39" i="7"/>
  <c r="M10" i="7"/>
  <c r="N12" i="7"/>
  <c r="N16" i="7"/>
  <c r="N20" i="7"/>
  <c r="N24" i="7"/>
  <c r="N28" i="7"/>
  <c r="N32" i="7"/>
  <c r="N36" i="7"/>
  <c r="M45" i="7"/>
  <c r="M46" i="7" s="1"/>
  <c r="N10" i="7"/>
  <c r="N13" i="7"/>
  <c r="N17" i="7"/>
  <c r="N21" i="7"/>
  <c r="N25" i="7"/>
  <c r="N29" i="7"/>
  <c r="N33" i="7"/>
  <c r="M47" i="7"/>
  <c r="M48" i="7" s="1"/>
  <c r="M50" i="7" s="1"/>
  <c r="M12" i="7"/>
  <c r="M14" i="7"/>
  <c r="M16" i="7"/>
  <c r="M18" i="7"/>
  <c r="M20" i="7"/>
  <c r="M22" i="7"/>
  <c r="M24" i="7"/>
  <c r="M26" i="7"/>
  <c r="M28" i="7"/>
  <c r="M30" i="7"/>
  <c r="M35" i="7"/>
  <c r="M37" i="7"/>
  <c r="M31" i="7"/>
  <c r="M33" i="7"/>
  <c r="M11" i="7"/>
  <c r="M13" i="7"/>
  <c r="M15" i="7"/>
  <c r="M17" i="7"/>
  <c r="M19" i="7"/>
  <c r="M21" i="7"/>
  <c r="M23" i="7"/>
  <c r="M25" i="7"/>
  <c r="M27" i="7"/>
  <c r="M29" i="7"/>
  <c r="M36" i="7"/>
  <c r="L35" i="7"/>
  <c r="L19" i="7"/>
  <c r="L39" i="7"/>
  <c r="L31" i="7"/>
  <c r="L29" i="7"/>
  <c r="L17" i="7"/>
  <c r="L14" i="7"/>
  <c r="L24" i="7"/>
  <c r="L13" i="7"/>
  <c r="L34" i="7"/>
  <c r="L18" i="7"/>
  <c r="Y10" i="7"/>
  <c r="L10" i="7"/>
  <c r="L12" i="7"/>
  <c r="L16" i="7"/>
  <c r="K10" i="7"/>
  <c r="L37" i="7"/>
  <c r="L11" i="7"/>
  <c r="L15" i="7"/>
  <c r="L20" i="7"/>
  <c r="L21" i="7"/>
  <c r="L22" i="7"/>
  <c r="L25" i="7"/>
  <c r="L26" i="7"/>
  <c r="L36" i="7"/>
  <c r="L32" i="7"/>
  <c r="L28" i="7"/>
  <c r="L27" i="7"/>
  <c r="L38" i="7"/>
  <c r="L33" i="7"/>
  <c r="L30" i="7"/>
  <c r="L23" i="7"/>
  <c r="N38" i="7"/>
  <c r="N34" i="7"/>
  <c r="N30" i="7"/>
  <c r="M73" i="6"/>
  <c r="M44" i="6"/>
  <c r="M11" i="6"/>
  <c r="M15" i="6"/>
  <c r="M19" i="6"/>
  <c r="M23" i="6"/>
  <c r="M27" i="6"/>
  <c r="M31" i="6"/>
  <c r="M35" i="6"/>
  <c r="M39" i="6"/>
  <c r="Q69" i="6"/>
  <c r="M72" i="6"/>
  <c r="M71" i="6"/>
  <c r="M70" i="6"/>
  <c r="M12" i="6" s="1"/>
  <c r="M69" i="6"/>
  <c r="L14" i="6" s="1"/>
  <c r="M68" i="6"/>
  <c r="M67" i="6"/>
  <c r="L37" i="6" l="1"/>
  <c r="L33" i="6"/>
  <c r="L29" i="6"/>
  <c r="L25" i="6"/>
  <c r="L21" i="6"/>
  <c r="L17" i="6"/>
  <c r="L13" i="6"/>
  <c r="L10" i="6"/>
  <c r="L36" i="6"/>
  <c r="L32" i="6"/>
  <c r="L28" i="6"/>
  <c r="L24" i="6"/>
  <c r="L20" i="6"/>
  <c r="L16" i="6"/>
  <c r="L12" i="6"/>
  <c r="M38" i="6"/>
  <c r="M34" i="6"/>
  <c r="M30" i="6"/>
  <c r="M26" i="6"/>
  <c r="M22" i="6"/>
  <c r="M18" i="6"/>
  <c r="M14" i="6"/>
  <c r="Y10" i="6"/>
  <c r="L39" i="6"/>
  <c r="L35" i="6"/>
  <c r="L31" i="6"/>
  <c r="L27" i="6"/>
  <c r="L23" i="6"/>
  <c r="L19" i="6"/>
  <c r="L15" i="6"/>
  <c r="L11" i="6"/>
  <c r="M37" i="6"/>
  <c r="M33" i="6"/>
  <c r="M29" i="6"/>
  <c r="M25" i="6"/>
  <c r="M21" i="6"/>
  <c r="M17" i="6"/>
  <c r="M13" i="6"/>
  <c r="M54" i="6"/>
  <c r="L38" i="6"/>
  <c r="L34" i="6"/>
  <c r="L30" i="6"/>
  <c r="L26" i="6"/>
  <c r="L22" i="6"/>
  <c r="L18" i="6"/>
  <c r="M10" i="6"/>
  <c r="M36" i="6"/>
  <c r="M32" i="6"/>
  <c r="M28" i="6"/>
  <c r="M24" i="6"/>
  <c r="M20" i="6"/>
  <c r="M16" i="6"/>
  <c r="M45" i="6"/>
  <c r="M46" i="6" s="1"/>
  <c r="X10" i="6"/>
  <c r="N39" i="6"/>
  <c r="N35" i="6"/>
  <c r="N31" i="6"/>
  <c r="N27" i="6"/>
  <c r="N23" i="6"/>
  <c r="N19" i="6"/>
  <c r="N15" i="6"/>
  <c r="N11" i="6"/>
  <c r="N38" i="6"/>
  <c r="N34" i="6"/>
  <c r="N30" i="6"/>
  <c r="N26" i="6"/>
  <c r="N22" i="6"/>
  <c r="N18" i="6"/>
  <c r="N14" i="6"/>
  <c r="N37" i="6"/>
  <c r="N33" i="6"/>
  <c r="N29" i="6"/>
  <c r="N25" i="6"/>
  <c r="N21" i="6"/>
  <c r="N17" i="6"/>
  <c r="N13" i="6"/>
  <c r="N10" i="6"/>
  <c r="N36" i="6"/>
  <c r="N32" i="6"/>
  <c r="N28" i="6"/>
  <c r="N24" i="6"/>
  <c r="N20" i="6"/>
  <c r="N16" i="6"/>
  <c r="N12" i="6"/>
  <c r="O10" i="7"/>
  <c r="R5" i="6"/>
  <c r="Q10" i="7" l="1"/>
  <c r="R10" i="7" s="1"/>
  <c r="S10" i="7" s="1"/>
  <c r="T10" i="7" s="1"/>
  <c r="U10" i="7" s="1"/>
  <c r="V10" i="7" s="1"/>
  <c r="W10" i="7" s="1"/>
  <c r="R3" i="6"/>
  <c r="X11" i="7" l="1"/>
  <c r="Y11" i="7"/>
  <c r="M47" i="6"/>
  <c r="M48" i="6" s="1"/>
  <c r="M50" i="6" s="1"/>
  <c r="K11" i="7" l="1"/>
  <c r="O11" i="7" l="1"/>
  <c r="Q10" i="6" l="1"/>
  <c r="R10" i="6" s="1"/>
  <c r="S10" i="6" s="1"/>
  <c r="T10" i="6" s="1"/>
  <c r="U10" i="6" l="1"/>
  <c r="V10" i="6" s="1"/>
  <c r="W10" i="6" l="1"/>
  <c r="X11" i="6" s="1"/>
  <c r="Q11" i="7"/>
  <c r="R11" i="7" s="1"/>
  <c r="S11" i="7" s="1"/>
  <c r="T11" i="7" s="1"/>
  <c r="U11" i="7" s="1"/>
  <c r="V11" i="7" s="1"/>
  <c r="W11" i="7" s="1"/>
  <c r="X12" i="7" s="1"/>
  <c r="Y11" i="6" l="1"/>
  <c r="K11" i="6" s="1"/>
  <c r="Y12" i="7"/>
  <c r="K12" i="7" s="1"/>
  <c r="O12" i="7" s="1"/>
  <c r="O11" i="6" l="1"/>
  <c r="Q11" i="6" l="1"/>
  <c r="R11" i="6" s="1"/>
  <c r="S11" i="6" s="1"/>
  <c r="T11" i="6" s="1"/>
  <c r="U11" i="6" s="1"/>
  <c r="Q12" i="7"/>
  <c r="R12" i="7" s="1"/>
  <c r="S12" i="7" s="1"/>
  <c r="T12" i="7" s="1"/>
  <c r="U12" i="7" s="1"/>
  <c r="V12" i="7" s="1"/>
  <c r="W12" i="7" s="1"/>
  <c r="Y13" i="7" l="1"/>
  <c r="X13" i="7"/>
  <c r="V11" i="6"/>
  <c r="W11" i="6" s="1"/>
  <c r="K13" i="7" l="1"/>
  <c r="Y12" i="6"/>
  <c r="X12" i="6"/>
  <c r="K12" i="6" s="1"/>
  <c r="O13" i="7" l="1"/>
  <c r="O12" i="6" l="1"/>
  <c r="Q12" i="6" s="1"/>
  <c r="R12" i="6" s="1"/>
  <c r="S12" i="6" s="1"/>
  <c r="T12" i="6" s="1"/>
  <c r="U12" i="6" s="1"/>
  <c r="Q13" i="7"/>
  <c r="R13" i="7" s="1"/>
  <c r="S13" i="7" s="1"/>
  <c r="T13" i="7" s="1"/>
  <c r="U13" i="7" s="1"/>
  <c r="V13" i="7" s="1"/>
  <c r="W13" i="7" s="1"/>
  <c r="X14" i="7" l="1"/>
  <c r="Y14" i="7"/>
  <c r="V12" i="6"/>
  <c r="W12" i="6" s="1"/>
  <c r="K14" i="7" l="1"/>
  <c r="Y13" i="6"/>
  <c r="X13" i="6"/>
  <c r="O14" i="7" l="1"/>
  <c r="K13" i="6"/>
  <c r="O13" i="6" l="1"/>
  <c r="Q13" i="6" l="1"/>
  <c r="R13" i="6" s="1"/>
  <c r="S13" i="6" s="1"/>
  <c r="T13" i="6" s="1"/>
  <c r="U13" i="6" s="1"/>
  <c r="V13" i="6" s="1"/>
  <c r="W13" i="6" s="1"/>
  <c r="Q14" i="7"/>
  <c r="R14" i="7" s="1"/>
  <c r="S14" i="7" s="1"/>
  <c r="T14" i="7" s="1"/>
  <c r="U14" i="7" s="1"/>
  <c r="V14" i="7" s="1"/>
  <c r="W14" i="7" s="1"/>
  <c r="X15" i="7" l="1"/>
  <c r="Y15" i="7"/>
  <c r="Y14" i="6"/>
  <c r="X14" i="6"/>
  <c r="K15" i="7" l="1"/>
  <c r="K14" i="6"/>
  <c r="O15" i="7" l="1"/>
  <c r="O14" i="6"/>
  <c r="Q14" i="6" l="1"/>
  <c r="R14" i="6" s="1"/>
  <c r="S14" i="6" s="1"/>
  <c r="T14" i="6" s="1"/>
  <c r="U14" i="6" s="1"/>
  <c r="V14" i="6" s="1"/>
  <c r="W14" i="6" s="1"/>
  <c r="Q15" i="7" l="1"/>
  <c r="R15" i="7" s="1"/>
  <c r="S15" i="7" s="1"/>
  <c r="T15" i="7" s="1"/>
  <c r="U15" i="7" s="1"/>
  <c r="V15" i="7" s="1"/>
  <c r="W15" i="7" s="1"/>
  <c r="Y15" i="6"/>
  <c r="X15" i="6"/>
  <c r="Y16" i="7" l="1"/>
  <c r="X16" i="7"/>
  <c r="K15" i="6"/>
  <c r="O15" i="6" l="1"/>
  <c r="Q15" i="6" s="1"/>
  <c r="R15" i="6" s="1"/>
  <c r="S15" i="6" s="1"/>
  <c r="T15" i="6" s="1"/>
  <c r="U15" i="6" s="1"/>
  <c r="V15" i="6" s="1"/>
  <c r="W15" i="6" s="1"/>
  <c r="K16" i="7"/>
  <c r="O16" i="7" l="1"/>
  <c r="X16" i="6"/>
  <c r="Y16" i="6"/>
  <c r="K16" i="6" l="1"/>
  <c r="Q16" i="7" l="1"/>
  <c r="R16" i="7" s="1"/>
  <c r="S16" i="7" s="1"/>
  <c r="T16" i="7" s="1"/>
  <c r="U16" i="7" s="1"/>
  <c r="V16" i="7" s="1"/>
  <c r="W16" i="7" s="1"/>
  <c r="X17" i="7" s="1"/>
  <c r="O16" i="6"/>
  <c r="Y17" i="7" l="1"/>
  <c r="K17" i="7" s="1"/>
  <c r="Q16" i="6"/>
  <c r="R16" i="6" s="1"/>
  <c r="S16" i="6" s="1"/>
  <c r="T16" i="6" s="1"/>
  <c r="U16" i="6" s="1"/>
  <c r="O17" i="7" l="1"/>
  <c r="V16" i="6"/>
  <c r="W16" i="6" s="1"/>
  <c r="X17" i="6" l="1"/>
  <c r="Y17" i="6"/>
  <c r="Q17" i="7" l="1"/>
  <c r="R17" i="7" s="1"/>
  <c r="S17" i="7" s="1"/>
  <c r="T17" i="7" s="1"/>
  <c r="U17" i="7" s="1"/>
  <c r="V17" i="7" s="1"/>
  <c r="W17" i="7" s="1"/>
  <c r="K17" i="6"/>
  <c r="Y18" i="7" l="1"/>
  <c r="X18" i="7"/>
  <c r="O17" i="6"/>
  <c r="K18" i="7" l="1"/>
  <c r="O18" i="7" s="1"/>
  <c r="Q17" i="6"/>
  <c r="R17" i="6" s="1"/>
  <c r="S17" i="6" s="1"/>
  <c r="T17" i="6" s="1"/>
  <c r="U17" i="6" s="1"/>
  <c r="V17" i="6" l="1"/>
  <c r="W17" i="6" s="1"/>
  <c r="Q18" i="7" l="1"/>
  <c r="R18" i="7" s="1"/>
  <c r="S18" i="7" s="1"/>
  <c r="T18" i="7" s="1"/>
  <c r="U18" i="7" s="1"/>
  <c r="V18" i="7" s="1"/>
  <c r="W18" i="7" s="1"/>
  <c r="Y18" i="6"/>
  <c r="X18" i="6"/>
  <c r="X19" i="7" l="1"/>
  <c r="Y19" i="7"/>
  <c r="K18" i="6"/>
  <c r="K19" i="7" l="1"/>
  <c r="O18" i="6"/>
  <c r="Q18" i="6" l="1"/>
  <c r="R18" i="6" s="1"/>
  <c r="S18" i="6" s="1"/>
  <c r="T18" i="6" s="1"/>
  <c r="U18" i="6" s="1"/>
  <c r="V18" i="6" s="1"/>
  <c r="W18" i="6" s="1"/>
  <c r="O19" i="7"/>
  <c r="Y19" i="6" l="1"/>
  <c r="X19" i="6"/>
  <c r="K19" i="6" l="1"/>
  <c r="O19" i="6" s="1"/>
  <c r="Q19" i="7" l="1"/>
  <c r="R19" i="7" s="1"/>
  <c r="S19" i="7" s="1"/>
  <c r="T19" i="7" s="1"/>
  <c r="U19" i="7" s="1"/>
  <c r="V19" i="7" s="1"/>
  <c r="W19" i="7" s="1"/>
  <c r="X20" i="7" s="1"/>
  <c r="Q19" i="6"/>
  <c r="R19" i="6" s="1"/>
  <c r="S19" i="6" s="1"/>
  <c r="T19" i="6" s="1"/>
  <c r="U19" i="6" s="1"/>
  <c r="Y20" i="7" l="1"/>
  <c r="K20" i="7" s="1"/>
  <c r="V19" i="6"/>
  <c r="W19" i="6" s="1"/>
  <c r="O20" i="7" l="1"/>
  <c r="Y20" i="6"/>
  <c r="X20" i="6"/>
  <c r="K20" i="6" l="1"/>
  <c r="O20" i="6" l="1"/>
  <c r="Q20" i="7" l="1"/>
  <c r="R20" i="7" s="1"/>
  <c r="S20" i="7" s="1"/>
  <c r="T20" i="7" s="1"/>
  <c r="U20" i="7" s="1"/>
  <c r="V20" i="7" s="1"/>
  <c r="W20" i="7" s="1"/>
  <c r="X21" i="7" s="1"/>
  <c r="Q20" i="6"/>
  <c r="R20" i="6" s="1"/>
  <c r="S20" i="6" s="1"/>
  <c r="T20" i="6" s="1"/>
  <c r="U20" i="6" s="1"/>
  <c r="Y21" i="7" l="1"/>
  <c r="K21" i="7"/>
  <c r="V20" i="6"/>
  <c r="W20" i="6" s="1"/>
  <c r="O21" i="7" l="1"/>
  <c r="Y21" i="6"/>
  <c r="X21" i="6"/>
  <c r="K21" i="6" l="1"/>
  <c r="O21" i="6" s="1"/>
  <c r="Q21" i="6" l="1"/>
  <c r="R21" i="6" s="1"/>
  <c r="S21" i="6" s="1"/>
  <c r="T21" i="6" s="1"/>
  <c r="U21" i="6" s="1"/>
  <c r="Q21" i="7" l="1"/>
  <c r="R21" i="7" s="1"/>
  <c r="S21" i="7" s="1"/>
  <c r="T21" i="7" s="1"/>
  <c r="U21" i="7" s="1"/>
  <c r="V21" i="7" s="1"/>
  <c r="W21" i="7" s="1"/>
  <c r="X22" i="7" s="1"/>
  <c r="V21" i="6"/>
  <c r="W21" i="6" s="1"/>
  <c r="Y22" i="7" l="1"/>
  <c r="K22" i="7" s="1"/>
  <c r="X22" i="6"/>
  <c r="Y22" i="6"/>
  <c r="O22" i="7" l="1"/>
  <c r="K22" i="6"/>
  <c r="O22" i="6" l="1"/>
  <c r="Q22" i="6" l="1"/>
  <c r="R22" i="6" s="1"/>
  <c r="S22" i="6" s="1"/>
  <c r="T22" i="6" s="1"/>
  <c r="U22" i="6" s="1"/>
  <c r="V22" i="6" s="1"/>
  <c r="W22" i="6" s="1"/>
  <c r="Q22" i="7" l="1"/>
  <c r="R22" i="7" s="1"/>
  <c r="S22" i="7" s="1"/>
  <c r="T22" i="7" s="1"/>
  <c r="U22" i="7" s="1"/>
  <c r="V22" i="7" s="1"/>
  <c r="W22" i="7" s="1"/>
  <c r="X23" i="7" s="1"/>
  <c r="Y23" i="6"/>
  <c r="X23" i="6"/>
  <c r="Y23" i="7" l="1"/>
  <c r="K23" i="7"/>
  <c r="K23" i="6"/>
  <c r="O23" i="6" s="1"/>
  <c r="O23" i="7" l="1"/>
  <c r="Q23" i="6"/>
  <c r="R23" i="6" s="1"/>
  <c r="S23" i="6" s="1"/>
  <c r="T23" i="6" s="1"/>
  <c r="U23" i="6" s="1"/>
  <c r="V23" i="6" l="1"/>
  <c r="W23" i="6" s="1"/>
  <c r="Q23" i="7" l="1"/>
  <c r="R23" i="7" s="1"/>
  <c r="S23" i="7" s="1"/>
  <c r="T23" i="7" s="1"/>
  <c r="U23" i="7" s="1"/>
  <c r="V23" i="7" s="1"/>
  <c r="W23" i="7" s="1"/>
  <c r="Y24" i="6"/>
  <c r="X24" i="6"/>
  <c r="X24" i="7" l="1"/>
  <c r="Y24" i="7"/>
  <c r="K24" i="6"/>
  <c r="K24" i="7" l="1"/>
  <c r="O24" i="6"/>
  <c r="O24" i="7" l="1"/>
  <c r="Q24" i="6"/>
  <c r="R24" i="6" s="1"/>
  <c r="S24" i="6" s="1"/>
  <c r="T24" i="6" s="1"/>
  <c r="U24" i="6" s="1"/>
  <c r="V24" i="6" l="1"/>
  <c r="W24" i="6" s="1"/>
  <c r="X25" i="6" l="1"/>
  <c r="Y25" i="6"/>
  <c r="Q24" i="7" l="1"/>
  <c r="R24" i="7" s="1"/>
  <c r="S24" i="7" s="1"/>
  <c r="T24" i="7" s="1"/>
  <c r="U24" i="7" s="1"/>
  <c r="V24" i="7" s="1"/>
  <c r="W24" i="7" s="1"/>
  <c r="Y25" i="7" s="1"/>
  <c r="K25" i="6"/>
  <c r="O25" i="6" l="1"/>
  <c r="Q25" i="6" s="1"/>
  <c r="R25" i="6" s="1"/>
  <c r="S25" i="6" s="1"/>
  <c r="T25" i="6" s="1"/>
  <c r="U25" i="6" s="1"/>
  <c r="X25" i="7"/>
  <c r="K25" i="7" s="1"/>
  <c r="O25" i="7" l="1"/>
  <c r="V25" i="6"/>
  <c r="W25" i="6" s="1"/>
  <c r="Q25" i="7" l="1"/>
  <c r="R25" i="7" s="1"/>
  <c r="S25" i="7" s="1"/>
  <c r="T25" i="7" s="1"/>
  <c r="U25" i="7" s="1"/>
  <c r="V25" i="7" s="1"/>
  <c r="W25" i="7" s="1"/>
  <c r="X26" i="6"/>
  <c r="Y26" i="6"/>
  <c r="Y26" i="7" l="1"/>
  <c r="X26" i="7"/>
  <c r="K26" i="6"/>
  <c r="K26" i="7" l="1"/>
  <c r="O26" i="6"/>
  <c r="Q26" i="6" s="1"/>
  <c r="R26" i="6" s="1"/>
  <c r="S26" i="6" s="1"/>
  <c r="T26" i="6" s="1"/>
  <c r="U26" i="6" s="1"/>
  <c r="O26" i="7" l="1"/>
  <c r="V26" i="6"/>
  <c r="W26" i="6" s="1"/>
  <c r="Q26" i="7" l="1"/>
  <c r="R26" i="7" s="1"/>
  <c r="S26" i="7" s="1"/>
  <c r="T26" i="7" s="1"/>
  <c r="U26" i="7" s="1"/>
  <c r="V26" i="7" s="1"/>
  <c r="W26" i="7" s="1"/>
  <c r="Y27" i="6"/>
  <c r="X27" i="6"/>
  <c r="X27" i="7" l="1"/>
  <c r="Y27" i="7"/>
  <c r="K27" i="6"/>
  <c r="K27" i="7" l="1"/>
  <c r="O27" i="6"/>
  <c r="O27" i="7" l="1"/>
  <c r="Q27" i="6"/>
  <c r="R27" i="6" s="1"/>
  <c r="S27" i="6" s="1"/>
  <c r="T27" i="6" s="1"/>
  <c r="U27" i="6" s="1"/>
  <c r="V27" i="6" l="1"/>
  <c r="W27" i="6" s="1"/>
  <c r="Q27" i="7" l="1"/>
  <c r="R27" i="7" s="1"/>
  <c r="S27" i="7" s="1"/>
  <c r="T27" i="7" s="1"/>
  <c r="U27" i="7" s="1"/>
  <c r="V27" i="7" s="1"/>
  <c r="W27" i="7" s="1"/>
  <c r="Y28" i="6"/>
  <c r="X28" i="6"/>
  <c r="X28" i="7" l="1"/>
  <c r="Y28" i="7"/>
  <c r="K28" i="6"/>
  <c r="K28" i="7" l="1"/>
  <c r="O28" i="6"/>
  <c r="O28" i="7" l="1"/>
  <c r="Q28" i="6"/>
  <c r="R28" i="6" s="1"/>
  <c r="S28" i="6" s="1"/>
  <c r="T28" i="6" s="1"/>
  <c r="U28" i="6" s="1"/>
  <c r="V28" i="6" l="1"/>
  <c r="W28" i="6" s="1"/>
  <c r="Y29" i="6" l="1"/>
  <c r="X29" i="6"/>
  <c r="Q28" i="7" l="1"/>
  <c r="R28" i="7" s="1"/>
  <c r="S28" i="7" s="1"/>
  <c r="T28" i="7" s="1"/>
  <c r="U28" i="7" s="1"/>
  <c r="V28" i="7" s="1"/>
  <c r="W28" i="7" s="1"/>
  <c r="Y29" i="7" s="1"/>
  <c r="K29" i="6"/>
  <c r="O29" i="6"/>
  <c r="X29" i="7" l="1"/>
  <c r="K29" i="7" s="1"/>
  <c r="O29" i="7"/>
  <c r="Q29" i="6"/>
  <c r="R29" i="6" s="1"/>
  <c r="S29" i="6" s="1"/>
  <c r="T29" i="6" s="1"/>
  <c r="U29" i="6" s="1"/>
  <c r="V29" i="6" l="1"/>
  <c r="W29" i="6" s="1"/>
  <c r="Q29" i="7" l="1"/>
  <c r="R29" i="7" s="1"/>
  <c r="S29" i="7" s="1"/>
  <c r="T29" i="7" s="1"/>
  <c r="U29" i="7" s="1"/>
  <c r="V29" i="7" s="1"/>
  <c r="W29" i="7" s="1"/>
  <c r="Y30" i="6"/>
  <c r="X30" i="6"/>
  <c r="X30" i="7" l="1"/>
  <c r="Y30" i="7"/>
  <c r="K30" i="6"/>
  <c r="O30" i="6" s="1"/>
  <c r="Q30" i="6" l="1"/>
  <c r="R30" i="6" s="1"/>
  <c r="S30" i="6" s="1"/>
  <c r="T30" i="6" s="1"/>
  <c r="U30" i="6" s="1"/>
  <c r="K30" i="7"/>
  <c r="O30" i="7" l="1"/>
  <c r="V30" i="6"/>
  <c r="W30" i="6" s="1"/>
  <c r="X31" i="6" l="1"/>
  <c r="Y31" i="6"/>
  <c r="Q30" i="7" l="1"/>
  <c r="R30" i="7" s="1"/>
  <c r="S30" i="7" s="1"/>
  <c r="T30" i="7" s="1"/>
  <c r="U30" i="7" s="1"/>
  <c r="V30" i="7" s="1"/>
  <c r="W30" i="7" s="1"/>
  <c r="K31" i="6"/>
  <c r="Y31" i="7" l="1"/>
  <c r="X31" i="7"/>
  <c r="K31" i="7" s="1"/>
  <c r="O31" i="6"/>
  <c r="O31" i="7" l="1"/>
  <c r="Q31" i="6"/>
  <c r="R31" i="6" s="1"/>
  <c r="S31" i="6" s="1"/>
  <c r="T31" i="6" s="1"/>
  <c r="U31" i="6" s="1"/>
  <c r="V31" i="6" l="1"/>
  <c r="W31" i="6" s="1"/>
  <c r="Q31" i="7" l="1"/>
  <c r="R31" i="7" s="1"/>
  <c r="S31" i="7" s="1"/>
  <c r="T31" i="7" s="1"/>
  <c r="U31" i="7" s="1"/>
  <c r="V31" i="7" s="1"/>
  <c r="W31" i="7" s="1"/>
  <c r="X32" i="6"/>
  <c r="Y32" i="6"/>
  <c r="X32" i="7" l="1"/>
  <c r="Y32" i="7"/>
  <c r="K32" i="6"/>
  <c r="K32" i="7" l="1"/>
  <c r="O32" i="6"/>
  <c r="O32" i="7" l="1"/>
  <c r="Q32" i="6"/>
  <c r="R32" i="6" s="1"/>
  <c r="S32" i="6" s="1"/>
  <c r="T32" i="6" s="1"/>
  <c r="U32" i="6" s="1"/>
  <c r="V32" i="6" l="1"/>
  <c r="W32" i="6" s="1"/>
  <c r="Y33" i="6" l="1"/>
  <c r="X33" i="6"/>
  <c r="K33" i="6" s="1"/>
  <c r="Q32" i="7" l="1"/>
  <c r="R32" i="7" s="1"/>
  <c r="S32" i="7" s="1"/>
  <c r="T32" i="7" s="1"/>
  <c r="U32" i="7" s="1"/>
  <c r="V32" i="7" s="1"/>
  <c r="W32" i="7" s="1"/>
  <c r="Y33" i="7" s="1"/>
  <c r="O33" i="6"/>
  <c r="X33" i="7" l="1"/>
  <c r="K33" i="7" s="1"/>
  <c r="O33" i="7"/>
  <c r="Q33" i="6"/>
  <c r="R33" i="6" s="1"/>
  <c r="S33" i="6" s="1"/>
  <c r="T33" i="6" s="1"/>
  <c r="U33" i="6" s="1"/>
  <c r="V33" i="6" l="1"/>
  <c r="W33" i="6" s="1"/>
  <c r="Y34" i="6" l="1"/>
  <c r="X34" i="6"/>
  <c r="K34" i="6" s="1"/>
  <c r="Q33" i="7" l="1"/>
  <c r="R33" i="7" s="1"/>
  <c r="S33" i="7" s="1"/>
  <c r="T33" i="7" s="1"/>
  <c r="U33" i="7" s="1"/>
  <c r="V33" i="7" s="1"/>
  <c r="W33" i="7" s="1"/>
  <c r="Y34" i="7" s="1"/>
  <c r="O34" i="6"/>
  <c r="Q34" i="6" s="1"/>
  <c r="R34" i="6" s="1"/>
  <c r="S34" i="6" s="1"/>
  <c r="X34" i="7" l="1"/>
  <c r="K34" i="7"/>
  <c r="T34" i="6"/>
  <c r="U34" i="6" s="1"/>
  <c r="O34" i="7" l="1"/>
  <c r="V34" i="6"/>
  <c r="W34" i="6" s="1"/>
  <c r="Q34" i="7" l="1"/>
  <c r="R34" i="7" s="1"/>
  <c r="S34" i="7" s="1"/>
  <c r="T34" i="7" s="1"/>
  <c r="U34" i="7" s="1"/>
  <c r="V34" i="7" s="1"/>
  <c r="W34" i="7" s="1"/>
  <c r="X35" i="6"/>
  <c r="Y35" i="6"/>
  <c r="X35" i="7" l="1"/>
  <c r="Y35" i="7"/>
  <c r="K35" i="6"/>
  <c r="K35" i="7" l="1"/>
  <c r="O35" i="6"/>
  <c r="O35" i="7" l="1"/>
  <c r="Q35" i="6"/>
  <c r="R35" i="6" s="1"/>
  <c r="S35" i="6" s="1"/>
  <c r="T35" i="6" s="1"/>
  <c r="U35" i="6" s="1"/>
  <c r="V35" i="6" l="1"/>
  <c r="W35" i="6" s="1"/>
  <c r="Y36" i="6" l="1"/>
  <c r="X36" i="6"/>
  <c r="Q35" i="7" l="1"/>
  <c r="R35" i="7" s="1"/>
  <c r="S35" i="7" s="1"/>
  <c r="T35" i="7" s="1"/>
  <c r="U35" i="7" s="1"/>
  <c r="V35" i="7" s="1"/>
  <c r="W35" i="7" s="1"/>
  <c r="X36" i="7" s="1"/>
  <c r="K36" i="6"/>
  <c r="O36" i="6" l="1"/>
  <c r="Y36" i="7"/>
  <c r="K36" i="7" s="1"/>
  <c r="Q36" i="6"/>
  <c r="R36" i="6" s="1"/>
  <c r="S36" i="6" s="1"/>
  <c r="T36" i="6" s="1"/>
  <c r="U36" i="6" s="1"/>
  <c r="O36" i="7" l="1"/>
  <c r="V36" i="6"/>
  <c r="W36" i="6" s="1"/>
  <c r="X37" i="6" s="1"/>
  <c r="Y37" i="6" l="1"/>
  <c r="K37" i="6" s="1"/>
  <c r="O37" i="6" l="1"/>
  <c r="Q37" i="6" s="1"/>
  <c r="R37" i="6" s="1"/>
  <c r="S37" i="6" s="1"/>
  <c r="Q36" i="7" l="1"/>
  <c r="R36" i="7" s="1"/>
  <c r="S36" i="7" s="1"/>
  <c r="T36" i="7" s="1"/>
  <c r="U36" i="7" s="1"/>
  <c r="V36" i="7" s="1"/>
  <c r="W36" i="7" s="1"/>
  <c r="Y37" i="7" s="1"/>
  <c r="T37" i="6"/>
  <c r="U37" i="6" s="1"/>
  <c r="X37" i="7" l="1"/>
  <c r="K37" i="7" s="1"/>
  <c r="O37" i="7"/>
  <c r="V37" i="6"/>
  <c r="W37" i="6" s="1"/>
  <c r="X38" i="6" l="1"/>
  <c r="Y38" i="6"/>
  <c r="Q37" i="7" l="1"/>
  <c r="R37" i="7" s="1"/>
  <c r="S37" i="7" s="1"/>
  <c r="T37" i="7" s="1"/>
  <c r="U37" i="7" s="1"/>
  <c r="V37" i="7" s="1"/>
  <c r="W37" i="7" s="1"/>
  <c r="K38" i="6"/>
  <c r="O38" i="6" l="1"/>
  <c r="Q38" i="6" s="1"/>
  <c r="R38" i="6" s="1"/>
  <c r="S38" i="6" s="1"/>
  <c r="Y38" i="7"/>
  <c r="X38" i="7"/>
  <c r="K38" i="7" l="1"/>
  <c r="T38" i="6"/>
  <c r="U38" i="6" s="1"/>
  <c r="O38" i="7" l="1"/>
  <c r="V38" i="6"/>
  <c r="W38" i="6" s="1"/>
  <c r="Q38" i="7" l="1"/>
  <c r="R38" i="7" s="1"/>
  <c r="S38" i="7" s="1"/>
  <c r="T38" i="7" s="1"/>
  <c r="U38" i="7" s="1"/>
  <c r="V38" i="7" s="1"/>
  <c r="W38" i="7" s="1"/>
  <c r="X39" i="6"/>
  <c r="Y39" i="6"/>
  <c r="Y39" i="7" l="1"/>
  <c r="X39" i="7"/>
  <c r="C18" i="7" s="1"/>
  <c r="C18" i="6"/>
  <c r="K39" i="6"/>
  <c r="K39" i="7" l="1"/>
  <c r="O39" i="6"/>
  <c r="K41" i="6"/>
  <c r="K41" i="7" l="1"/>
  <c r="O39" i="7"/>
  <c r="C21" i="7" s="1"/>
  <c r="C21" i="6"/>
  <c r="Q39" i="6" l="1"/>
  <c r="R39" i="6" l="1"/>
  <c r="C23" i="6"/>
  <c r="Q39" i="7" l="1"/>
  <c r="C23" i="7" s="1"/>
  <c r="R39" i="7"/>
  <c r="C24" i="7" s="1"/>
  <c r="S39" i="6"/>
  <c r="Q44" i="6"/>
  <c r="C24" i="6"/>
  <c r="S39" i="7" l="1"/>
  <c r="Q44" i="7"/>
  <c r="Q49" i="7" s="1"/>
  <c r="Q50" i="7" s="1"/>
  <c r="C27" i="7" s="1"/>
  <c r="Q49" i="6"/>
  <c r="Q50" i="6" s="1"/>
  <c r="T39" i="6"/>
  <c r="Q45" i="6"/>
  <c r="Q51" i="7" l="1"/>
  <c r="C28" i="7"/>
  <c r="Q45" i="7"/>
  <c r="Q46" i="7" s="1"/>
  <c r="Q47" i="7" s="1"/>
  <c r="C26" i="7" s="1"/>
  <c r="T39" i="7"/>
  <c r="C27" i="6"/>
  <c r="C28" i="6" s="1"/>
  <c r="Q51" i="6"/>
  <c r="Q46" i="6"/>
  <c r="Q47" i="6" s="1"/>
  <c r="U39" i="6"/>
  <c r="M60" i="6" s="1"/>
  <c r="M56" i="6"/>
  <c r="M64" i="6" s="1"/>
  <c r="U39" i="7" l="1"/>
  <c r="M56" i="7"/>
  <c r="Q48" i="7"/>
  <c r="C25" i="7" s="1"/>
  <c r="Q48" i="6"/>
  <c r="C26" i="6"/>
  <c r="M57" i="6"/>
  <c r="V39" i="6"/>
  <c r="W39" i="6" s="1"/>
  <c r="M61" i="6"/>
  <c r="M62" i="6" s="1"/>
  <c r="T57" i="6"/>
  <c r="M55" i="6" l="1"/>
  <c r="Q55" i="6"/>
  <c r="Q56" i="6" s="1"/>
  <c r="T58" i="6" s="1"/>
  <c r="T59" i="6" s="1"/>
  <c r="T60" i="6" s="1"/>
  <c r="C25" i="6"/>
  <c r="Q55" i="7"/>
  <c r="Q56" i="7" s="1"/>
  <c r="M55" i="7"/>
  <c r="M64" i="7"/>
  <c r="G24" i="7" s="1"/>
  <c r="M57" i="7"/>
  <c r="T57" i="7"/>
  <c r="V39" i="7"/>
  <c r="W39" i="7" s="1"/>
  <c r="M60" i="7"/>
  <c r="M61" i="7" s="1"/>
  <c r="M62" i="7" s="1"/>
  <c r="G24" i="6"/>
  <c r="Q57" i="6"/>
  <c r="Q58" i="6" l="1"/>
  <c r="Q59" i="6" s="1"/>
  <c r="Q57" i="7"/>
  <c r="Q58" i="7" s="1"/>
  <c r="Q59" i="7" s="1"/>
  <c r="G25" i="7" s="1"/>
  <c r="T58" i="7"/>
  <c r="T59" i="7" s="1"/>
  <c r="T60" i="7" s="1"/>
  <c r="Q60" i="6" l="1"/>
  <c r="G26" i="6" s="1"/>
  <c r="G27" i="6" s="1"/>
  <c r="G25" i="6"/>
  <c r="Q60" i="7"/>
  <c r="G26" i="7" l="1"/>
  <c r="G27" i="7" s="1"/>
</calcChain>
</file>

<file path=xl/sharedStrings.xml><?xml version="1.0" encoding="utf-8"?>
<sst xmlns="http://schemas.openxmlformats.org/spreadsheetml/2006/main" count="354" uniqueCount="134">
  <si>
    <t>User Input Cell</t>
  </si>
  <si>
    <t>inch</t>
  </si>
  <si>
    <t>lb/h</t>
  </si>
  <si>
    <t>lb/ft3</t>
  </si>
  <si>
    <t>Tag No.</t>
  </si>
  <si>
    <t>Date</t>
  </si>
  <si>
    <t>By</t>
  </si>
  <si>
    <t>ft2</t>
  </si>
  <si>
    <t>ft/s</t>
  </si>
  <si>
    <t>DP</t>
  </si>
  <si>
    <t>Result</t>
  </si>
  <si>
    <t>Description</t>
  </si>
  <si>
    <t>Shortcut Air Cooled Heat Exchanger Design</t>
  </si>
  <si>
    <t>Product Cooler</t>
  </si>
  <si>
    <t>Heat Duty</t>
  </si>
  <si>
    <t>MMBTU/h</t>
  </si>
  <si>
    <t>Process Side</t>
  </si>
  <si>
    <t>Inlet Temperature</t>
  </si>
  <si>
    <t>Outlet Temperature</t>
  </si>
  <si>
    <t>Deg F</t>
  </si>
  <si>
    <t>Air Side</t>
  </si>
  <si>
    <t>Overall HTC, U</t>
  </si>
  <si>
    <t>Tube OD</t>
  </si>
  <si>
    <t>Fin height</t>
  </si>
  <si>
    <t>Tube Layout</t>
  </si>
  <si>
    <t>Tube Pitch</t>
  </si>
  <si>
    <t>Tube Length</t>
  </si>
  <si>
    <t>ft</t>
  </si>
  <si>
    <t>Tube Pass</t>
  </si>
  <si>
    <t>Single</t>
  </si>
  <si>
    <t>Multiple</t>
  </si>
  <si>
    <t>Tube Side</t>
  </si>
  <si>
    <t>Number of Tube Rows</t>
  </si>
  <si>
    <t>Calculations</t>
  </si>
  <si>
    <t>Outlet T</t>
  </si>
  <si>
    <t>Tin</t>
  </si>
  <si>
    <t>Tout</t>
  </si>
  <si>
    <t>LMTD</t>
  </si>
  <si>
    <t>tin</t>
  </si>
  <si>
    <t>F</t>
  </si>
  <si>
    <t>Iterations</t>
  </si>
  <si>
    <t>Rows</t>
  </si>
  <si>
    <t>External Surface Area</t>
  </si>
  <si>
    <t>Design Face Velocity</t>
  </si>
  <si>
    <t>ft/min</t>
  </si>
  <si>
    <t>MTD</t>
  </si>
  <si>
    <t>Bare</t>
  </si>
  <si>
    <t>Area, ft2</t>
  </si>
  <si>
    <t>Area Selected</t>
  </si>
  <si>
    <t>Site Elevation</t>
  </si>
  <si>
    <t>Air Properties</t>
  </si>
  <si>
    <t>Elevation</t>
  </si>
  <si>
    <t>Temperature</t>
  </si>
  <si>
    <t>Deg R</t>
  </si>
  <si>
    <t>Cp</t>
  </si>
  <si>
    <t xml:space="preserve">Density </t>
  </si>
  <si>
    <t>Factor</t>
  </si>
  <si>
    <t>Density Corrected</t>
  </si>
  <si>
    <t>Face</t>
  </si>
  <si>
    <t>Air Flow</t>
  </si>
  <si>
    <t>ft3/h</t>
  </si>
  <si>
    <t>DT</t>
  </si>
  <si>
    <t>T2 Out</t>
  </si>
  <si>
    <t>Finned Area</t>
  </si>
  <si>
    <t>Face Area</t>
  </si>
  <si>
    <t>Unit Width</t>
  </si>
  <si>
    <t>Area Calculation</t>
  </si>
  <si>
    <t>Width</t>
  </si>
  <si>
    <t>No. of Tubes</t>
  </si>
  <si>
    <t>APF</t>
  </si>
  <si>
    <t>No. of Tube per Row</t>
  </si>
  <si>
    <t>Total Tubes</t>
  </si>
  <si>
    <t>Tmin</t>
  </si>
  <si>
    <t>Tmax</t>
  </si>
  <si>
    <t>R</t>
  </si>
  <si>
    <t>P</t>
  </si>
  <si>
    <t>Correction Factor</t>
  </si>
  <si>
    <t>Corrected MTD</t>
  </si>
  <si>
    <t>Pressure Constant</t>
  </si>
  <si>
    <t>Pressure Drop</t>
  </si>
  <si>
    <t>Power</t>
  </si>
  <si>
    <t>hp</t>
  </si>
  <si>
    <t>Drive Power</t>
  </si>
  <si>
    <t>Fan Efficiency</t>
  </si>
  <si>
    <t>%</t>
  </si>
  <si>
    <t>Motor Efficiency</t>
  </si>
  <si>
    <t>Air Side Pressure Drop</t>
  </si>
  <si>
    <t>inch H2O</t>
  </si>
  <si>
    <t>Brake Power</t>
  </si>
  <si>
    <t>Tubes per Row</t>
  </si>
  <si>
    <t>Air Flowrate</t>
  </si>
  <si>
    <t>Motor Shaft Power</t>
  </si>
  <si>
    <t>ACFM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</si>
  <si>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</si>
  <si>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Static Pressure Drop</t>
  </si>
  <si>
    <t>Fp</t>
  </si>
  <si>
    <t>Air Face Mass Vel</t>
  </si>
  <si>
    <t>lb/h-ft2</t>
  </si>
  <si>
    <t>Fan Calculation</t>
  </si>
  <si>
    <t>Fan nos</t>
  </si>
  <si>
    <t>Fan area/ fan</t>
  </si>
  <si>
    <t>Fan Diameter</t>
  </si>
  <si>
    <t>ACFM per Fan</t>
  </si>
  <si>
    <t>Velocity DP</t>
  </si>
  <si>
    <t>Total DP</t>
  </si>
  <si>
    <t>BHP</t>
  </si>
  <si>
    <t>DR</t>
  </si>
  <si>
    <t>Vfan</t>
  </si>
  <si>
    <t>Vfr</t>
  </si>
  <si>
    <t>Vel DP</t>
  </si>
  <si>
    <t>lbf/ft2</t>
  </si>
  <si>
    <t>inch Water</t>
  </si>
  <si>
    <t>Degree</t>
  </si>
  <si>
    <t>Process Parameters</t>
  </si>
  <si>
    <t>U</t>
  </si>
  <si>
    <t>BTU/h-ft2-F</t>
  </si>
  <si>
    <t>Air In</t>
  </si>
  <si>
    <t>Face Velocity</t>
  </si>
  <si>
    <t>kW</t>
  </si>
  <si>
    <t>MMKcal/h</t>
  </si>
  <si>
    <r>
      <t>Kcal/h.m</t>
    </r>
    <r>
      <rPr>
        <vertAlign val="superscript"/>
        <sz val="11"/>
        <color rgb="FF7030A0"/>
        <rFont val="Calibri"/>
        <family val="2"/>
        <scheme val="minor"/>
      </rPr>
      <t>2</t>
    </r>
    <r>
      <rPr>
        <sz val="11"/>
        <color rgb="FF7030A0"/>
        <rFont val="Calibri"/>
        <family val="2"/>
        <scheme val="minor"/>
      </rPr>
      <t>.C</t>
    </r>
  </si>
  <si>
    <r>
      <t>BTU/h.ft</t>
    </r>
    <r>
      <rPr>
        <vertAlign val="superscript"/>
        <sz val="11"/>
        <color rgb="FF7030A0"/>
        <rFont val="Calibri"/>
        <family val="2"/>
        <scheme val="minor"/>
      </rPr>
      <t>2</t>
    </r>
    <r>
      <rPr>
        <sz val="11"/>
        <color rgb="FF7030A0"/>
        <rFont val="Calibri"/>
        <family val="2"/>
        <scheme val="minor"/>
      </rPr>
      <t>.F</t>
    </r>
  </si>
  <si>
    <t>Deg C</t>
  </si>
  <si>
    <r>
      <t>m</t>
    </r>
    <r>
      <rPr>
        <vertAlign val="superscript"/>
        <sz val="11"/>
        <color rgb="FF7030A0"/>
        <rFont val="Calibri"/>
        <family val="2"/>
        <scheme val="minor"/>
      </rPr>
      <t>3</t>
    </r>
    <r>
      <rPr>
        <sz val="11"/>
        <color rgb="FF7030A0"/>
        <rFont val="Calibri"/>
        <family val="2"/>
        <scheme val="minor"/>
      </rPr>
      <t>/h</t>
    </r>
  </si>
  <si>
    <r>
      <t>mm H</t>
    </r>
    <r>
      <rPr>
        <vertAlign val="subscript"/>
        <sz val="11"/>
        <color rgb="FF7030A0"/>
        <rFont val="Calibri"/>
        <family val="2"/>
        <scheme val="minor"/>
      </rPr>
      <t>2</t>
    </r>
    <r>
      <rPr>
        <sz val="11"/>
        <color rgb="FF7030A0"/>
        <rFont val="Calibri"/>
        <family val="2"/>
        <scheme val="minor"/>
      </rPr>
      <t>O</t>
    </r>
  </si>
  <si>
    <r>
      <t>inch H</t>
    </r>
    <r>
      <rPr>
        <vertAlign val="subscript"/>
        <sz val="11"/>
        <color rgb="FF7030A0"/>
        <rFont val="Calibri"/>
        <family val="2"/>
        <scheme val="minor"/>
      </rPr>
      <t>2</t>
    </r>
    <r>
      <rPr>
        <sz val="11"/>
        <color rgb="FF7030A0"/>
        <rFont val="Calibri"/>
        <family val="2"/>
        <scheme val="minor"/>
      </rPr>
      <t>O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</si>
  <si>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</si>
  <si>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</t>
  </si>
  <si>
    <t>m/s</t>
  </si>
  <si>
    <t>E-101</t>
  </si>
  <si>
    <t>CheGuide.com</t>
  </si>
  <si>
    <t>Chemical Engineers Guide</t>
  </si>
  <si>
    <t>CheGuide</t>
  </si>
  <si>
    <t>30-Dec-15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</si>
</sst>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E+00"/>
    <numFmt numFmtId="167" formatCode="0.0000"/>
    <numFmt numFmtId="168" formatCode="[$-14009]dd/mm/yy;@"/>
    <numFmt numFmtId="169" formatCode="0.00000"/>
    <numFmt numFmtId="170" formatCode="0.000.E+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7030A0"/>
      <name val="Calibri"/>
      <family val="2"/>
      <scheme val="minor"/>
    </font>
    <font>
      <vertAlign val="subscript"/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164" fontId="4" fillId="0" borderId="0" xfId="0" applyNumberFormat="1" applyFont="1" applyAlignment="1" applyProtection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 applyProtection="1"/>
    <xf numFmtId="164" fontId="5" fillId="0" borderId="0" xfId="0" applyNumberFormat="1" applyFont="1" applyBorder="1" applyProtection="1"/>
    <xf numFmtId="164" fontId="0" fillId="0" borderId="0" xfId="0" applyNumberFormat="1" applyFont="1" applyProtection="1"/>
    <xf numFmtId="164" fontId="3" fillId="0" borderId="0" xfId="0" applyNumberFormat="1" applyFont="1" applyAlignment="1">
      <alignment horizontal="right" wrapText="1"/>
    </xf>
    <xf numFmtId="164" fontId="0" fillId="0" borderId="0" xfId="0" applyNumberFormat="1" applyFont="1"/>
    <xf numFmtId="0" fontId="1" fillId="3" borderId="0" xfId="0" applyFont="1" applyFill="1" applyProtection="1"/>
    <xf numFmtId="164" fontId="7" fillId="0" borderId="0" xfId="0" applyNumberFormat="1" applyFont="1"/>
    <xf numFmtId="165" fontId="0" fillId="2" borderId="1" xfId="0" applyNumberFormat="1" applyFont="1" applyFill="1" applyBorder="1" applyAlignment="1" applyProtection="1">
      <protection locked="0"/>
    </xf>
    <xf numFmtId="164" fontId="8" fillId="0" borderId="0" xfId="0" applyNumberFormat="1" applyFont="1" applyProtection="1"/>
    <xf numFmtId="164" fontId="5" fillId="2" borderId="1" xfId="0" applyNumberFormat="1" applyFont="1" applyFill="1" applyBorder="1" applyAlignment="1" applyProtection="1">
      <protection locked="0"/>
    </xf>
    <xf numFmtId="165" fontId="0" fillId="4" borderId="0" xfId="0" applyNumberFormat="1" applyFill="1"/>
    <xf numFmtId="165" fontId="0" fillId="4" borderId="6" xfId="0" applyNumberFormat="1" applyFill="1" applyBorder="1"/>
    <xf numFmtId="164" fontId="0" fillId="4" borderId="6" xfId="0" applyNumberFormat="1" applyFill="1" applyBorder="1"/>
    <xf numFmtId="164" fontId="6" fillId="0" borderId="0" xfId="0" applyNumberFormat="1" applyFon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" fontId="1" fillId="0" borderId="0" xfId="0" applyNumberFormat="1" applyFont="1" applyAlignment="1">
      <alignment horizontal="center"/>
    </xf>
    <xf numFmtId="164" fontId="1" fillId="0" borderId="0" xfId="0" applyNumberFormat="1" applyFont="1"/>
    <xf numFmtId="2" fontId="0" fillId="0" borderId="0" xfId="0" applyNumberFormat="1"/>
    <xf numFmtId="1" fontId="0" fillId="0" borderId="0" xfId="0" applyNumberFormat="1"/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 applyProtection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Alignment="1"/>
    <xf numFmtId="1" fontId="0" fillId="2" borderId="1" xfId="0" applyNumberFormat="1" applyFont="1" applyFill="1" applyBorder="1" applyAlignment="1" applyProtection="1">
      <protection locked="0"/>
    </xf>
    <xf numFmtId="1" fontId="0" fillId="0" borderId="0" xfId="0" applyNumberFormat="1" applyAlignment="1">
      <alignment wrapText="1"/>
    </xf>
    <xf numFmtId="169" fontId="0" fillId="0" borderId="0" xfId="0" applyNumberFormat="1"/>
    <xf numFmtId="166" fontId="0" fillId="0" borderId="0" xfId="0" applyNumberFormat="1"/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3" fontId="0" fillId="4" borderId="0" xfId="0" applyNumberFormat="1" applyFill="1"/>
    <xf numFmtId="2" fontId="0" fillId="4" borderId="6" xfId="0" applyNumberFormat="1" applyFill="1" applyBorder="1"/>
    <xf numFmtId="1" fontId="0" fillId="4" borderId="6" xfId="0" applyNumberFormat="1" applyFill="1" applyBorder="1"/>
    <xf numFmtId="165" fontId="0" fillId="0" borderId="0" xfId="0" applyNumberFormat="1" applyFont="1"/>
    <xf numFmtId="164" fontId="0" fillId="5" borderId="0" xfId="0" applyNumberFormat="1" applyFill="1" applyProtection="1"/>
    <xf numFmtId="1" fontId="0" fillId="5" borderId="0" xfId="0" applyNumberFormat="1" applyFill="1" applyProtection="1"/>
    <xf numFmtId="2" fontId="0" fillId="5" borderId="0" xfId="0" applyNumberFormat="1" applyFill="1" applyProtection="1"/>
    <xf numFmtId="167" fontId="0" fillId="5" borderId="0" xfId="0" applyNumberFormat="1" applyFill="1" applyProtection="1"/>
    <xf numFmtId="164" fontId="0" fillId="5" borderId="0" xfId="0" applyNumberFormat="1" applyFill="1"/>
    <xf numFmtId="1" fontId="0" fillId="5" borderId="0" xfId="0" applyNumberFormat="1" applyFill="1"/>
    <xf numFmtId="166" fontId="0" fillId="5" borderId="0" xfId="0" applyNumberFormat="1" applyFill="1"/>
    <xf numFmtId="170" fontId="0" fillId="5" borderId="0" xfId="0" applyNumberFormat="1" applyFill="1"/>
    <xf numFmtId="167" fontId="0" fillId="5" borderId="0" xfId="0" applyNumberFormat="1" applyFill="1"/>
    <xf numFmtId="169" fontId="0" fillId="5" borderId="0" xfId="0" applyNumberFormat="1" applyFill="1"/>
    <xf numFmtId="165" fontId="0" fillId="5" borderId="0" xfId="0" applyNumberFormat="1" applyFill="1"/>
    <xf numFmtId="164" fontId="0" fillId="6" borderId="0" xfId="0" applyNumberFormat="1" applyFill="1"/>
    <xf numFmtId="164" fontId="0" fillId="7" borderId="0" xfId="0" applyNumberFormat="1" applyFill="1"/>
    <xf numFmtId="164" fontId="4" fillId="0" borderId="0" xfId="0" applyNumberFormat="1" applyFont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168" fontId="5" fillId="2" borderId="5" xfId="0" applyNumberFormat="1" applyFont="1" applyFill="1" applyBorder="1" applyAlignment="1" applyProtection="1">
      <alignment horizontal="left"/>
      <protection locked="0"/>
    </xf>
    <xf numFmtId="164" fontId="5" fillId="2" borderId="2" xfId="0" applyNumberFormat="1" applyFont="1" applyFill="1" applyBorder="1" applyAlignment="1" applyProtection="1">
      <alignment horizontal="left"/>
      <protection locked="0"/>
    </xf>
    <xf numFmtId="164" fontId="5" fillId="2" borderId="3" xfId="0" applyNumberFormat="1" applyFont="1" applyFill="1" applyBorder="1" applyAlignment="1" applyProtection="1">
      <alignment horizontal="left"/>
      <protection locked="0"/>
    </xf>
    <xf numFmtId="164" fontId="2" fillId="0" borderId="0" xfId="1" applyNumberFormat="1" applyProtection="1"/>
    <xf numFmtId="168" fontId="5" fillId="2" borderId="4" xfId="0" quotePrefix="1" applyNumberFormat="1" applyFont="1" applyFill="1" applyBorder="1" applyAlignment="1" applyProtection="1">
      <alignment horizontal="left"/>
      <protection locked="0"/>
    </xf>
    <xf numFmtId="164" fontId="0" fillId="2" borderId="6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mguid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m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A73"/>
  <sheetViews>
    <sheetView showGridLines="0" zoomScaleNormal="100" workbookViewId="0"/>
  </sheetViews>
  <sheetFormatPr defaultRowHeight="15" x14ac:dyDescent="0.25"/>
  <cols>
    <col min="1" max="1" width="4.140625" style="20" customWidth="1"/>
    <col min="2" max="2" width="19.28515625" style="1" customWidth="1"/>
    <col min="3" max="3" width="10.28515625" style="1" customWidth="1"/>
    <col min="4" max="4" width="11.5703125" style="1" customWidth="1"/>
    <col min="5" max="5" width="3.140625" style="1" customWidth="1"/>
    <col min="6" max="6" width="20.5703125" style="1" customWidth="1"/>
    <col min="7" max="7" width="10.28515625" style="1" customWidth="1"/>
    <col min="8" max="8" width="9.140625" style="1"/>
    <col min="9" max="9" width="9.140625" style="8"/>
    <col min="10" max="10" width="10.85546875" style="20" customWidth="1"/>
    <col min="11" max="12" width="9.140625" style="1"/>
    <col min="13" max="13" width="10.5703125" style="1" bestFit="1" customWidth="1"/>
    <col min="14" max="16" width="9.140625" style="1"/>
    <col min="17" max="17" width="10.5703125" style="1" bestFit="1" customWidth="1"/>
    <col min="18" max="18" width="9.5703125" style="23" bestFit="1" customWidth="1"/>
    <col min="19" max="19" width="9.140625" style="1"/>
    <col min="20" max="20" width="12.5703125" style="1" bestFit="1" customWidth="1"/>
    <col min="21" max="21" width="10.5703125" style="1" bestFit="1" customWidth="1"/>
    <col min="22" max="16384" width="9.140625" style="1"/>
  </cols>
  <sheetData>
    <row r="2" spans="1:27" s="3" customFormat="1" ht="19.5" customHeight="1" x14ac:dyDescent="0.25">
      <c r="A2" s="18"/>
      <c r="B2" s="53" t="s">
        <v>12</v>
      </c>
      <c r="C2" s="53"/>
      <c r="D2" s="53"/>
      <c r="E2" s="53"/>
      <c r="F2" s="53"/>
      <c r="G2" s="53"/>
      <c r="H2" s="53"/>
      <c r="I2" s="2"/>
      <c r="J2" s="27"/>
      <c r="M2" s="3" t="s">
        <v>41</v>
      </c>
      <c r="N2" s="30" t="s">
        <v>42</v>
      </c>
      <c r="R2" s="32"/>
    </row>
    <row r="3" spans="1:27" s="4" customFormat="1" x14ac:dyDescent="0.25">
      <c r="A3" s="19"/>
      <c r="B3" s="59" t="s">
        <v>130</v>
      </c>
      <c r="F3" s="5" t="s">
        <v>4</v>
      </c>
      <c r="G3" s="54" t="s">
        <v>129</v>
      </c>
      <c r="H3" s="55"/>
      <c r="I3" s="6"/>
      <c r="J3" s="28"/>
      <c r="L3" s="40" t="s">
        <v>29</v>
      </c>
      <c r="M3" s="41">
        <v>3</v>
      </c>
      <c r="N3" s="40">
        <v>80.400000000000006</v>
      </c>
      <c r="P3" s="4" t="s">
        <v>48</v>
      </c>
      <c r="R3" s="41">
        <f>VLOOKUP(G15,M3:N6,2)</f>
        <v>160.80000000000001</v>
      </c>
    </row>
    <row r="4" spans="1:27" s="4" customFormat="1" x14ac:dyDescent="0.25">
      <c r="A4" s="19"/>
      <c r="B4" s="12" t="s">
        <v>131</v>
      </c>
      <c r="F4" s="5" t="s">
        <v>11</v>
      </c>
      <c r="G4" s="54" t="s">
        <v>13</v>
      </c>
      <c r="H4" s="55"/>
      <c r="I4" s="6"/>
      <c r="J4" s="28"/>
      <c r="L4" s="40" t="s">
        <v>30</v>
      </c>
      <c r="M4" s="41">
        <v>4</v>
      </c>
      <c r="N4" s="40">
        <v>107.2</v>
      </c>
      <c r="P4" s="4" t="s">
        <v>69</v>
      </c>
      <c r="R4" s="42">
        <v>5.58</v>
      </c>
    </row>
    <row r="5" spans="1:27" s="4" customFormat="1" x14ac:dyDescent="0.25">
      <c r="A5" s="19"/>
      <c r="F5" s="5" t="s">
        <v>5</v>
      </c>
      <c r="G5" s="60" t="s">
        <v>133</v>
      </c>
      <c r="H5" s="56"/>
      <c r="I5" s="6"/>
      <c r="J5" s="28"/>
      <c r="M5" s="41">
        <v>5</v>
      </c>
      <c r="N5" s="40">
        <v>134</v>
      </c>
      <c r="P5" s="4" t="s">
        <v>78</v>
      </c>
      <c r="R5" s="43">
        <f>0.0037</f>
        <v>3.7000000000000002E-3</v>
      </c>
    </row>
    <row r="6" spans="1:27" s="4" customFormat="1" x14ac:dyDescent="0.25">
      <c r="A6" s="19"/>
      <c r="B6" s="7" t="s">
        <v>0</v>
      </c>
      <c r="C6" s="13"/>
      <c r="D6" s="3"/>
      <c r="E6" s="3"/>
      <c r="F6" s="5" t="s">
        <v>6</v>
      </c>
      <c r="G6" s="57" t="s">
        <v>132</v>
      </c>
      <c r="H6" s="58"/>
      <c r="I6" s="6"/>
      <c r="J6" s="28"/>
      <c r="M6" s="41">
        <v>6</v>
      </c>
      <c r="N6" s="40">
        <v>160.80000000000001</v>
      </c>
      <c r="R6" s="19"/>
    </row>
    <row r="7" spans="1:27" s="4" customFormat="1" x14ac:dyDescent="0.25">
      <c r="A7" s="19"/>
      <c r="B7" s="7"/>
      <c r="C7" s="25"/>
      <c r="D7" s="3"/>
      <c r="E7" s="3"/>
      <c r="F7" s="5"/>
      <c r="G7" s="26"/>
      <c r="H7" s="26"/>
      <c r="I7" s="6"/>
      <c r="J7" s="28"/>
      <c r="R7" s="19"/>
    </row>
    <row r="8" spans="1:27" x14ac:dyDescent="0.25">
      <c r="B8" s="9" t="s">
        <v>16</v>
      </c>
      <c r="C8" s="9"/>
      <c r="D8" s="9"/>
      <c r="F8" s="9" t="s">
        <v>31</v>
      </c>
      <c r="G8" s="9"/>
      <c r="H8" s="9"/>
      <c r="J8" s="29" t="s">
        <v>40</v>
      </c>
      <c r="K8" s="17" t="s">
        <v>33</v>
      </c>
      <c r="R8" s="23" t="s">
        <v>46</v>
      </c>
      <c r="S8" s="1" t="s">
        <v>58</v>
      </c>
      <c r="T8" s="1" t="s">
        <v>59</v>
      </c>
      <c r="V8" s="1" t="s">
        <v>61</v>
      </c>
      <c r="W8" s="1" t="s">
        <v>62</v>
      </c>
      <c r="X8" s="1" t="s">
        <v>72</v>
      </c>
      <c r="Y8" s="1" t="s">
        <v>73</v>
      </c>
    </row>
    <row r="9" spans="1:27" x14ac:dyDescent="0.25">
      <c r="B9" s="1" t="s">
        <v>14</v>
      </c>
      <c r="C9" s="11">
        <v>15</v>
      </c>
      <c r="D9" s="10" t="s">
        <v>15</v>
      </c>
      <c r="F9" s="1" t="s">
        <v>22</v>
      </c>
      <c r="G9" s="1">
        <v>1</v>
      </c>
      <c r="H9" s="10" t="s">
        <v>1</v>
      </c>
      <c r="K9" s="1" t="s">
        <v>34</v>
      </c>
      <c r="L9" s="1" t="s">
        <v>35</v>
      </c>
      <c r="M9" s="1" t="s">
        <v>36</v>
      </c>
      <c r="N9" s="1" t="s">
        <v>38</v>
      </c>
      <c r="O9" s="1" t="s">
        <v>37</v>
      </c>
      <c r="P9" s="1" t="s">
        <v>39</v>
      </c>
      <c r="Q9" s="1" t="s">
        <v>45</v>
      </c>
      <c r="R9" s="23" t="s">
        <v>47</v>
      </c>
      <c r="S9" s="1" t="s">
        <v>47</v>
      </c>
      <c r="T9" s="1" t="s">
        <v>60</v>
      </c>
      <c r="U9" s="1" t="s">
        <v>2</v>
      </c>
      <c r="V9" s="1" t="s">
        <v>19</v>
      </c>
      <c r="W9" s="1" t="s">
        <v>19</v>
      </c>
      <c r="X9" s="1" t="s">
        <v>19</v>
      </c>
      <c r="Y9" s="1" t="s">
        <v>19</v>
      </c>
      <c r="Z9" s="1" t="s">
        <v>74</v>
      </c>
      <c r="AA9" s="1" t="s">
        <v>75</v>
      </c>
    </row>
    <row r="10" spans="1:27" ht="17.25" x14ac:dyDescent="0.25">
      <c r="B10" s="3" t="s">
        <v>21</v>
      </c>
      <c r="C10" s="11">
        <v>4</v>
      </c>
      <c r="D10" s="10" t="s">
        <v>121</v>
      </c>
      <c r="F10" s="1" t="s">
        <v>23</v>
      </c>
      <c r="G10" s="1">
        <v>0.625</v>
      </c>
      <c r="H10" s="10" t="s">
        <v>1</v>
      </c>
      <c r="J10" s="20">
        <v>1</v>
      </c>
      <c r="K10" s="44">
        <f>(X10+Y10)/2</f>
        <v>175</v>
      </c>
      <c r="L10" s="44">
        <f>$M$69</f>
        <v>250</v>
      </c>
      <c r="M10" s="44">
        <f>$M$70</f>
        <v>150</v>
      </c>
      <c r="N10" s="44">
        <f>$M$71</f>
        <v>100</v>
      </c>
      <c r="O10" s="44">
        <f>((L10-K10)-(M10-N10))/LN((L10-K10)/(M10-N10))</f>
        <v>61.657586559410795</v>
      </c>
      <c r="P10" s="44">
        <f>$C$22</f>
        <v>0.94699999999999995</v>
      </c>
      <c r="Q10" s="44">
        <f>O10*P10</f>
        <v>58.389734471762019</v>
      </c>
      <c r="R10" s="45">
        <f>$M$67*1000000/($M$68*Q10)</f>
        <v>64223.617968558247</v>
      </c>
      <c r="S10" s="44">
        <f>R10/$R$3</f>
        <v>399.40060925720297</v>
      </c>
      <c r="T10" s="46">
        <f>S10*$M$72*60</f>
        <v>14378421.933259308</v>
      </c>
      <c r="U10" s="47">
        <f>T10*$M$48</f>
        <v>1003296.207315806</v>
      </c>
      <c r="V10" s="44">
        <f>$M$67*1000000/(U10*$M$49)</f>
        <v>62.036179790744036</v>
      </c>
      <c r="W10" s="44">
        <f>N10+V10</f>
        <v>162.03617979074403</v>
      </c>
      <c r="X10" s="44">
        <f>M71+0.0000000001</f>
        <v>100.0000000001</v>
      </c>
      <c r="Y10" s="44">
        <f>M69-0.0000000001</f>
        <v>249.99999999990001</v>
      </c>
      <c r="Z10" s="44">
        <f>(L10-M10)/(K10-N10)</f>
        <v>1.3333333333333333</v>
      </c>
      <c r="AA10" s="44">
        <f>(K10-N10)/(L10-N10)</f>
        <v>0.5</v>
      </c>
    </row>
    <row r="11" spans="1:27" x14ac:dyDescent="0.25">
      <c r="B11" s="21" t="s">
        <v>16</v>
      </c>
      <c r="D11" s="10"/>
      <c r="F11" s="1" t="s">
        <v>24</v>
      </c>
      <c r="G11" s="23">
        <v>30</v>
      </c>
      <c r="H11" s="10" t="s">
        <v>112</v>
      </c>
      <c r="J11" s="20">
        <v>2</v>
      </c>
      <c r="K11" s="44">
        <f>(X11+Y11)/2</f>
        <v>137.50000000004999</v>
      </c>
      <c r="L11" s="44">
        <f t="shared" ref="L11:L39" si="0">$M$69</f>
        <v>250</v>
      </c>
      <c r="M11" s="44">
        <f t="shared" ref="M11:M39" si="1">$M$70</f>
        <v>150</v>
      </c>
      <c r="N11" s="44">
        <f t="shared" ref="N11:N39" si="2">$M$71</f>
        <v>100</v>
      </c>
      <c r="O11" s="44">
        <f>((L11-K11)-(M11-N11))/LN((L11-K11)/(M11-N11))</f>
        <v>77.071983199244087</v>
      </c>
      <c r="P11" s="44">
        <f t="shared" ref="P11:P39" si="3">$C$22</f>
        <v>0.94699999999999995</v>
      </c>
      <c r="Q11" s="44">
        <f>O11*P11</f>
        <v>72.987168089684147</v>
      </c>
      <c r="R11" s="45">
        <f t="shared" ref="R11:R39" si="4">$M$67*1000000/($M$68*Q11)</f>
        <v>51378.894374859534</v>
      </c>
      <c r="S11" s="44">
        <f>R11/$R$3</f>
        <v>319.52048740584286</v>
      </c>
      <c r="T11" s="46">
        <f t="shared" ref="T11:T39" si="5">S11*$M$72*60</f>
        <v>11502737.546610344</v>
      </c>
      <c r="U11" s="47">
        <f t="shared" ref="U11:U38" si="6">T11*$M$48</f>
        <v>802636.96585284686</v>
      </c>
      <c r="V11" s="44">
        <f t="shared" ref="V11:V39" si="7">$M$67*1000000/(U11*$M$49)</f>
        <v>77.545224738410525</v>
      </c>
      <c r="W11" s="44">
        <f>N11+V11</f>
        <v>177.54522473841052</v>
      </c>
      <c r="X11" s="44">
        <f>IF(W10&gt;K10,K10,X10)</f>
        <v>100.0000000001</v>
      </c>
      <c r="Y11" s="44">
        <f>IF(W10&gt;K10,Y10,K10)</f>
        <v>175</v>
      </c>
      <c r="Z11" s="44">
        <f t="shared" ref="Z11:Z39" si="8">(L11-M11)/(K11-N11)</f>
        <v>2.6666666666631116</v>
      </c>
      <c r="AA11" s="44">
        <f t="shared" ref="AA11:AA39" si="9">(K11-N11)/(L11-N11)</f>
        <v>0.25000000000033329</v>
      </c>
    </row>
    <row r="12" spans="1:27" x14ac:dyDescent="0.25">
      <c r="B12" s="1" t="s">
        <v>17</v>
      </c>
      <c r="C12" s="11">
        <v>250</v>
      </c>
      <c r="D12" s="10" t="s">
        <v>19</v>
      </c>
      <c r="F12" s="1" t="s">
        <v>25</v>
      </c>
      <c r="G12" s="1">
        <v>2.5</v>
      </c>
      <c r="H12" s="10" t="s">
        <v>1</v>
      </c>
      <c r="J12" s="20">
        <v>3</v>
      </c>
      <c r="K12" s="44">
        <f>(X12+Y12)/2</f>
        <v>156.25000000002501</v>
      </c>
      <c r="L12" s="44">
        <f t="shared" si="0"/>
        <v>250</v>
      </c>
      <c r="M12" s="44">
        <f t="shared" si="1"/>
        <v>150</v>
      </c>
      <c r="N12" s="44">
        <f t="shared" si="2"/>
        <v>100</v>
      </c>
      <c r="O12" s="44">
        <f t="shared" ref="O12:O39" si="10">((L12-K12)-(M12-N12))/LN((L12-K12)/(M12-N12))</f>
        <v>69.598150366231437</v>
      </c>
      <c r="P12" s="44">
        <f t="shared" si="3"/>
        <v>0.94699999999999995</v>
      </c>
      <c r="Q12" s="44">
        <f t="shared" ref="Q12:Q39" si="11">O12*P12</f>
        <v>65.909448396821162</v>
      </c>
      <c r="R12" s="45">
        <f t="shared" si="4"/>
        <v>56896.243121659383</v>
      </c>
      <c r="S12" s="44">
        <f t="shared" ref="S12:S39" si="12">R12/$R$3</f>
        <v>353.83235772176232</v>
      </c>
      <c r="T12" s="46">
        <f t="shared" si="5"/>
        <v>12737964.877983443</v>
      </c>
      <c r="U12" s="47">
        <f t="shared" si="6"/>
        <v>888828.54532463732</v>
      </c>
      <c r="V12" s="44">
        <f t="shared" si="7"/>
        <v>70.025500674803425</v>
      </c>
      <c r="W12" s="44">
        <f t="shared" ref="W12:W39" si="13">N12+V12</f>
        <v>170.02550067480342</v>
      </c>
      <c r="X12" s="44">
        <f t="shared" ref="X12:X39" si="14">IF(W11&gt;K11,K11,X11)</f>
        <v>137.50000000004999</v>
      </c>
      <c r="Y12" s="44">
        <f t="shared" ref="Y12:Y39" si="15">IF(W11&gt;K11,Y11,K11)</f>
        <v>175</v>
      </c>
      <c r="Z12" s="44">
        <f t="shared" si="8"/>
        <v>1.7777777777769872</v>
      </c>
      <c r="AA12" s="44">
        <f t="shared" si="9"/>
        <v>0.37500000000016676</v>
      </c>
    </row>
    <row r="13" spans="1:27" x14ac:dyDescent="0.25">
      <c r="B13" s="1" t="s">
        <v>18</v>
      </c>
      <c r="C13" s="11">
        <v>150</v>
      </c>
      <c r="D13" s="10" t="s">
        <v>19</v>
      </c>
      <c r="F13" s="1" t="s">
        <v>26</v>
      </c>
      <c r="G13" s="11">
        <v>30</v>
      </c>
      <c r="H13" s="10" t="s">
        <v>27</v>
      </c>
      <c r="J13" s="20">
        <v>4</v>
      </c>
      <c r="K13" s="44">
        <f t="shared" ref="K12:K39" si="16">(X13+Y13)/2</f>
        <v>165.62500000001251</v>
      </c>
      <c r="L13" s="44">
        <f t="shared" si="0"/>
        <v>250</v>
      </c>
      <c r="M13" s="44">
        <f t="shared" si="1"/>
        <v>150</v>
      </c>
      <c r="N13" s="44">
        <f t="shared" si="2"/>
        <v>100</v>
      </c>
      <c r="O13" s="44">
        <f t="shared" si="10"/>
        <v>65.695407446042182</v>
      </c>
      <c r="P13" s="44">
        <f t="shared" si="3"/>
        <v>0.94699999999999995</v>
      </c>
      <c r="Q13" s="44">
        <f t="shared" si="11"/>
        <v>62.213550851401941</v>
      </c>
      <c r="R13" s="45">
        <f t="shared" si="4"/>
        <v>60276.257321446494</v>
      </c>
      <c r="S13" s="44">
        <f t="shared" si="12"/>
        <v>374.8523465264085</v>
      </c>
      <c r="T13" s="46">
        <f t="shared" si="5"/>
        <v>13494684.474950707</v>
      </c>
      <c r="U13" s="47">
        <f t="shared" si="6"/>
        <v>941630.85597895412</v>
      </c>
      <c r="V13" s="44">
        <f t="shared" si="7"/>
        <v>66.098793922494451</v>
      </c>
      <c r="W13" s="44">
        <f t="shared" si="13"/>
        <v>166.09879392249445</v>
      </c>
      <c r="X13" s="44">
        <f t="shared" si="14"/>
        <v>156.25000000002501</v>
      </c>
      <c r="Y13" s="44">
        <f t="shared" si="15"/>
        <v>175</v>
      </c>
      <c r="Z13" s="44">
        <f t="shared" si="8"/>
        <v>1.5238095238092335</v>
      </c>
      <c r="AA13" s="44">
        <f t="shared" si="9"/>
        <v>0.43750000000008338</v>
      </c>
    </row>
    <row r="14" spans="1:27" x14ac:dyDescent="0.25">
      <c r="B14" s="21" t="s">
        <v>20</v>
      </c>
      <c r="D14" s="10"/>
      <c r="F14" s="1" t="s">
        <v>28</v>
      </c>
      <c r="G14" s="24" t="s">
        <v>30</v>
      </c>
      <c r="H14" s="10"/>
      <c r="J14" s="20">
        <v>5</v>
      </c>
      <c r="K14" s="44">
        <f t="shared" si="16"/>
        <v>170.31250000000625</v>
      </c>
      <c r="L14" s="44">
        <f t="shared" si="0"/>
        <v>250</v>
      </c>
      <c r="M14" s="44">
        <f t="shared" si="1"/>
        <v>150</v>
      </c>
      <c r="N14" s="44">
        <f t="shared" si="2"/>
        <v>100</v>
      </c>
      <c r="O14" s="44">
        <f t="shared" si="10"/>
        <v>63.694816886013299</v>
      </c>
      <c r="P14" s="44">
        <f t="shared" si="3"/>
        <v>0.94699999999999995</v>
      </c>
      <c r="Q14" s="44">
        <f>O14*P14</f>
        <v>60.318991591054591</v>
      </c>
      <c r="R14" s="45">
        <f t="shared" si="4"/>
        <v>62169.474341081848</v>
      </c>
      <c r="S14" s="44">
        <f t="shared" si="12"/>
        <v>386.62608421070797</v>
      </c>
      <c r="T14" s="46">
        <f t="shared" si="5"/>
        <v>13918539.031585487</v>
      </c>
      <c r="U14" s="47">
        <f t="shared" si="6"/>
        <v>971206.54036901437</v>
      </c>
      <c r="V14" s="44">
        <f t="shared" si="7"/>
        <v>64.085919228639369</v>
      </c>
      <c r="W14" s="44">
        <f t="shared" si="13"/>
        <v>164.08591922863937</v>
      </c>
      <c r="X14" s="44">
        <f t="shared" si="14"/>
        <v>165.62500000001251</v>
      </c>
      <c r="Y14" s="44">
        <f t="shared" si="15"/>
        <v>175</v>
      </c>
      <c r="Z14" s="44">
        <f t="shared" si="8"/>
        <v>1.4222222222220957</v>
      </c>
      <c r="AA14" s="44">
        <f t="shared" si="9"/>
        <v>0.46875000000004169</v>
      </c>
    </row>
    <row r="15" spans="1:27" x14ac:dyDescent="0.25">
      <c r="B15" s="1" t="s">
        <v>17</v>
      </c>
      <c r="C15" s="11">
        <v>100</v>
      </c>
      <c r="D15" s="10" t="s">
        <v>19</v>
      </c>
      <c r="F15" s="1" t="s">
        <v>32</v>
      </c>
      <c r="G15" s="35">
        <v>6</v>
      </c>
      <c r="H15" s="10"/>
      <c r="J15" s="20">
        <v>6</v>
      </c>
      <c r="K15" s="44">
        <f t="shared" si="16"/>
        <v>167.96875000000938</v>
      </c>
      <c r="L15" s="44">
        <f t="shared" si="0"/>
        <v>250</v>
      </c>
      <c r="M15" s="44">
        <f t="shared" si="1"/>
        <v>150</v>
      </c>
      <c r="N15" s="44">
        <f t="shared" si="2"/>
        <v>100</v>
      </c>
      <c r="O15" s="44">
        <f t="shared" si="10"/>
        <v>64.699496721340921</v>
      </c>
      <c r="P15" s="44">
        <f t="shared" si="3"/>
        <v>0.94699999999999995</v>
      </c>
      <c r="Q15" s="44">
        <f t="shared" si="11"/>
        <v>61.270423395109852</v>
      </c>
      <c r="R15" s="45">
        <f t="shared" si="4"/>
        <v>61204.081711948755</v>
      </c>
      <c r="S15" s="44">
        <f t="shared" si="12"/>
        <v>380.62239870614894</v>
      </c>
      <c r="T15" s="46">
        <f t="shared" si="5"/>
        <v>13702406.353421362</v>
      </c>
      <c r="U15" s="47">
        <f t="shared" si="6"/>
        <v>956125.25416906772</v>
      </c>
      <c r="V15" s="44">
        <f t="shared" si="7"/>
        <v>65.096768053162606</v>
      </c>
      <c r="W15" s="44">
        <f t="shared" si="13"/>
        <v>165.09676805316261</v>
      </c>
      <c r="X15" s="44">
        <f t="shared" si="14"/>
        <v>165.62500000001251</v>
      </c>
      <c r="Y15" s="44">
        <f t="shared" si="15"/>
        <v>170.31250000000625</v>
      </c>
      <c r="Z15" s="44">
        <f t="shared" si="8"/>
        <v>1.471264367815889</v>
      </c>
      <c r="AA15" s="44">
        <f t="shared" si="9"/>
        <v>0.45312500000006251</v>
      </c>
    </row>
    <row r="16" spans="1:27" x14ac:dyDescent="0.25">
      <c r="B16" s="1" t="s">
        <v>43</v>
      </c>
      <c r="C16" s="31">
        <v>600</v>
      </c>
      <c r="D16" s="10" t="s">
        <v>44</v>
      </c>
      <c r="H16" s="10"/>
      <c r="J16" s="20">
        <v>7</v>
      </c>
      <c r="K16" s="44">
        <f t="shared" si="16"/>
        <v>166.79687500001094</v>
      </c>
      <c r="L16" s="44">
        <f t="shared" si="0"/>
        <v>250</v>
      </c>
      <c r="M16" s="44">
        <f t="shared" si="1"/>
        <v>150</v>
      </c>
      <c r="N16" s="44">
        <f t="shared" si="2"/>
        <v>100</v>
      </c>
      <c r="O16" s="44">
        <f t="shared" si="10"/>
        <v>65.198525323227202</v>
      </c>
      <c r="P16" s="44">
        <f t="shared" si="3"/>
        <v>0.94699999999999995</v>
      </c>
      <c r="Q16" s="44">
        <f t="shared" si="11"/>
        <v>61.74300348109616</v>
      </c>
      <c r="R16" s="45">
        <f t="shared" si="4"/>
        <v>60735.626525653817</v>
      </c>
      <c r="S16" s="44">
        <f t="shared" si="12"/>
        <v>377.70912018441425</v>
      </c>
      <c r="T16" s="46">
        <f t="shared" si="5"/>
        <v>13597528.326638913</v>
      </c>
      <c r="U16" s="47">
        <f t="shared" si="6"/>
        <v>948807.08483240369</v>
      </c>
      <c r="V16" s="44">
        <f t="shared" si="7"/>
        <v>65.598860817327335</v>
      </c>
      <c r="W16" s="44">
        <f t="shared" si="13"/>
        <v>165.59886081732733</v>
      </c>
      <c r="X16" s="44">
        <f t="shared" si="14"/>
        <v>165.62500000001251</v>
      </c>
      <c r="Y16" s="44">
        <f t="shared" si="15"/>
        <v>167.96875000000938</v>
      </c>
      <c r="Z16" s="44">
        <f t="shared" si="8"/>
        <v>1.4970760233915676</v>
      </c>
      <c r="AA16" s="44">
        <f t="shared" si="9"/>
        <v>0.44531250000007294</v>
      </c>
    </row>
    <row r="17" spans="2:27" x14ac:dyDescent="0.25">
      <c r="B17" s="1" t="s">
        <v>49</v>
      </c>
      <c r="C17" s="31">
        <v>500</v>
      </c>
      <c r="D17" s="10" t="s">
        <v>27</v>
      </c>
      <c r="J17" s="20">
        <v>8</v>
      </c>
      <c r="K17" s="44">
        <f t="shared" si="16"/>
        <v>166.21093750001171</v>
      </c>
      <c r="L17" s="44">
        <f t="shared" si="0"/>
        <v>250</v>
      </c>
      <c r="M17" s="44">
        <f t="shared" si="1"/>
        <v>150</v>
      </c>
      <c r="N17" s="44">
        <f t="shared" si="2"/>
        <v>100</v>
      </c>
      <c r="O17" s="44">
        <f t="shared" si="10"/>
        <v>65.447231920452708</v>
      </c>
      <c r="P17" s="44">
        <f t="shared" si="3"/>
        <v>0.94699999999999995</v>
      </c>
      <c r="Q17" s="44">
        <f t="shared" si="11"/>
        <v>61.978528628668712</v>
      </c>
      <c r="R17" s="45">
        <f t="shared" si="4"/>
        <v>60504.824541210626</v>
      </c>
      <c r="S17" s="44">
        <f t="shared" si="12"/>
        <v>376.27378446026506</v>
      </c>
      <c r="T17" s="46">
        <f t="shared" si="5"/>
        <v>13545856.240569543</v>
      </c>
      <c r="U17" s="47">
        <f t="shared" si="6"/>
        <v>945201.51474841719</v>
      </c>
      <c r="V17" s="44">
        <f t="shared" si="7"/>
        <v>65.849094536186215</v>
      </c>
      <c r="W17" s="44">
        <f t="shared" si="13"/>
        <v>165.84909453618621</v>
      </c>
      <c r="X17" s="44">
        <f t="shared" si="14"/>
        <v>165.62500000001251</v>
      </c>
      <c r="Y17" s="44">
        <f t="shared" si="15"/>
        <v>166.79687500001094</v>
      </c>
      <c r="Z17" s="44">
        <f t="shared" si="8"/>
        <v>1.5103244837755441</v>
      </c>
      <c r="AA17" s="44">
        <f t="shared" si="9"/>
        <v>0.44140625000007805</v>
      </c>
    </row>
    <row r="18" spans="2:27" x14ac:dyDescent="0.25">
      <c r="B18" s="1" t="s">
        <v>18</v>
      </c>
      <c r="C18" s="22">
        <f>X39</f>
        <v>165.95726367087377</v>
      </c>
      <c r="D18" s="10" t="s">
        <v>19</v>
      </c>
      <c r="F18" s="34"/>
      <c r="J18" s="20">
        <v>9</v>
      </c>
      <c r="K18" s="44">
        <f t="shared" si="16"/>
        <v>165.91796875001211</v>
      </c>
      <c r="L18" s="44">
        <f t="shared" si="0"/>
        <v>250</v>
      </c>
      <c r="M18" s="44">
        <f t="shared" si="1"/>
        <v>150</v>
      </c>
      <c r="N18" s="44">
        <f t="shared" si="2"/>
        <v>100</v>
      </c>
      <c r="O18" s="44">
        <f t="shared" si="10"/>
        <v>65.571385725760805</v>
      </c>
      <c r="P18" s="44">
        <f t="shared" si="3"/>
        <v>0.94699999999999995</v>
      </c>
      <c r="Q18" s="44">
        <f t="shared" si="11"/>
        <v>62.096102282295483</v>
      </c>
      <c r="R18" s="45">
        <f t="shared" si="4"/>
        <v>60390.263835757374</v>
      </c>
      <c r="S18" s="44">
        <f t="shared" si="12"/>
        <v>375.56134226217267</v>
      </c>
      <c r="T18" s="46">
        <f t="shared" si="5"/>
        <v>13520208.321438218</v>
      </c>
      <c r="U18" s="47">
        <f t="shared" si="6"/>
        <v>943411.85659890366</v>
      </c>
      <c r="V18" s="44">
        <f t="shared" si="7"/>
        <v>65.974010677371496</v>
      </c>
      <c r="W18" s="44">
        <f t="shared" si="13"/>
        <v>165.9740106773715</v>
      </c>
      <c r="X18" s="44">
        <f t="shared" si="14"/>
        <v>165.62500000001251</v>
      </c>
      <c r="Y18" s="44">
        <f t="shared" si="15"/>
        <v>166.21093750001171</v>
      </c>
      <c r="Z18" s="44">
        <f t="shared" si="8"/>
        <v>1.5170370370367583</v>
      </c>
      <c r="AA18" s="44">
        <f t="shared" si="9"/>
        <v>0.43945312500008071</v>
      </c>
    </row>
    <row r="19" spans="2:27" x14ac:dyDescent="0.25">
      <c r="C19" s="33"/>
      <c r="J19" s="20">
        <v>10</v>
      </c>
      <c r="K19" s="44">
        <f t="shared" si="16"/>
        <v>166.06445312501191</v>
      </c>
      <c r="L19" s="44">
        <f t="shared" si="0"/>
        <v>250</v>
      </c>
      <c r="M19" s="44">
        <f t="shared" si="1"/>
        <v>150</v>
      </c>
      <c r="N19" s="44">
        <f t="shared" si="2"/>
        <v>100</v>
      </c>
      <c r="O19" s="44">
        <f t="shared" si="10"/>
        <v>65.509325376181664</v>
      </c>
      <c r="P19" s="44">
        <f t="shared" si="3"/>
        <v>0.94699999999999995</v>
      </c>
      <c r="Q19" s="44">
        <f t="shared" si="11"/>
        <v>62.037331131244031</v>
      </c>
      <c r="R19" s="45">
        <f t="shared" si="4"/>
        <v>60447.474635339</v>
      </c>
      <c r="S19" s="44">
        <f t="shared" si="12"/>
        <v>375.91713081678478</v>
      </c>
      <c r="T19" s="46">
        <f t="shared" si="5"/>
        <v>13533016.709404252</v>
      </c>
      <c r="U19" s="47">
        <f t="shared" si="6"/>
        <v>944305.59912000934</v>
      </c>
      <c r="V19" s="44">
        <f t="shared" si="7"/>
        <v>65.911569261493838</v>
      </c>
      <c r="W19" s="44">
        <f t="shared" si="13"/>
        <v>165.91156926149384</v>
      </c>
      <c r="X19" s="44">
        <f t="shared" si="14"/>
        <v>165.91796875001211</v>
      </c>
      <c r="Y19" s="44">
        <f t="shared" si="15"/>
        <v>166.21093750001171</v>
      </c>
      <c r="Z19" s="44">
        <f t="shared" si="8"/>
        <v>1.5136733185510944</v>
      </c>
      <c r="AA19" s="44">
        <f t="shared" si="9"/>
        <v>0.44042968750007938</v>
      </c>
    </row>
    <row r="20" spans="2:27" x14ac:dyDescent="0.25">
      <c r="B20" s="9" t="s">
        <v>10</v>
      </c>
      <c r="C20" s="9"/>
      <c r="D20" s="9"/>
      <c r="F20" s="9" t="s">
        <v>82</v>
      </c>
      <c r="G20" s="9"/>
      <c r="H20" s="9"/>
      <c r="J20" s="20">
        <v>11</v>
      </c>
      <c r="K20" s="44">
        <f t="shared" si="16"/>
        <v>165.99121093751199</v>
      </c>
      <c r="L20" s="44">
        <f t="shared" si="0"/>
        <v>250</v>
      </c>
      <c r="M20" s="44">
        <f t="shared" si="1"/>
        <v>150</v>
      </c>
      <c r="N20" s="44">
        <f t="shared" si="2"/>
        <v>100</v>
      </c>
      <c r="O20" s="44">
        <f t="shared" si="10"/>
        <v>65.540359683919633</v>
      </c>
      <c r="P20" s="44">
        <f t="shared" si="3"/>
        <v>0.94699999999999995</v>
      </c>
      <c r="Q20" s="44">
        <f t="shared" si="11"/>
        <v>62.066720620671887</v>
      </c>
      <c r="R20" s="45">
        <f t="shared" si="4"/>
        <v>60418.851882292431</v>
      </c>
      <c r="S20" s="44">
        <f t="shared" si="12"/>
        <v>375.73912862122154</v>
      </c>
      <c r="T20" s="46">
        <f t="shared" si="5"/>
        <v>13526608.630363977</v>
      </c>
      <c r="U20" s="47">
        <f t="shared" si="6"/>
        <v>943858.45676828735</v>
      </c>
      <c r="V20" s="44">
        <f t="shared" si="7"/>
        <v>65.942794127758418</v>
      </c>
      <c r="W20" s="44">
        <f t="shared" si="13"/>
        <v>165.94279412775842</v>
      </c>
      <c r="X20" s="44">
        <f t="shared" si="14"/>
        <v>165.91796875001211</v>
      </c>
      <c r="Y20" s="44">
        <f t="shared" si="15"/>
        <v>166.06445312501191</v>
      </c>
      <c r="Z20" s="44">
        <f t="shared" si="8"/>
        <v>1.5153533111354998</v>
      </c>
      <c r="AA20" s="44">
        <f t="shared" si="9"/>
        <v>0.43994140625007994</v>
      </c>
    </row>
    <row r="21" spans="2:27" x14ac:dyDescent="0.25">
      <c r="B21" s="1" t="s">
        <v>37</v>
      </c>
      <c r="C21" s="14">
        <f>O39</f>
        <v>65.554741015808702</v>
      </c>
      <c r="D21" s="10" t="s">
        <v>19</v>
      </c>
      <c r="F21" s="1" t="s">
        <v>83</v>
      </c>
      <c r="G21" s="31">
        <v>75</v>
      </c>
      <c r="H21" s="1" t="s">
        <v>84</v>
      </c>
      <c r="J21" s="20">
        <v>12</v>
      </c>
      <c r="K21" s="44">
        <f t="shared" si="16"/>
        <v>165.95458984376205</v>
      </c>
      <c r="L21" s="44">
        <f t="shared" si="0"/>
        <v>250</v>
      </c>
      <c r="M21" s="44">
        <f t="shared" si="1"/>
        <v>150</v>
      </c>
      <c r="N21" s="44">
        <f t="shared" si="2"/>
        <v>100</v>
      </c>
      <c r="O21" s="44">
        <f t="shared" si="10"/>
        <v>65.555873737413549</v>
      </c>
      <c r="P21" s="44">
        <f t="shared" si="3"/>
        <v>0.94699999999999995</v>
      </c>
      <c r="Q21" s="44">
        <f t="shared" si="11"/>
        <v>62.081412429330626</v>
      </c>
      <c r="R21" s="45">
        <f t="shared" si="4"/>
        <v>60404.553525078896</v>
      </c>
      <c r="S21" s="44">
        <f t="shared" si="12"/>
        <v>375.65020848929657</v>
      </c>
      <c r="T21" s="46">
        <f t="shared" si="5"/>
        <v>13523407.505614677</v>
      </c>
      <c r="U21" s="47">
        <f t="shared" si="6"/>
        <v>943635.08897903864</v>
      </c>
      <c r="V21" s="44">
        <f t="shared" si="7"/>
        <v>65.958403441478552</v>
      </c>
      <c r="W21" s="44">
        <f t="shared" si="13"/>
        <v>165.95840344147854</v>
      </c>
      <c r="X21" s="44">
        <f t="shared" si="14"/>
        <v>165.91796875001211</v>
      </c>
      <c r="Y21" s="44">
        <f t="shared" si="15"/>
        <v>165.99121093751199</v>
      </c>
      <c r="Z21" s="44">
        <f t="shared" si="8"/>
        <v>1.5161947066441797</v>
      </c>
      <c r="AA21" s="44">
        <f t="shared" si="9"/>
        <v>0.43969726562508032</v>
      </c>
    </row>
    <row r="22" spans="2:27" x14ac:dyDescent="0.25">
      <c r="B22" s="1" t="s">
        <v>76</v>
      </c>
      <c r="C22" s="61">
        <v>0.94699999999999995</v>
      </c>
      <c r="D22" s="10"/>
      <c r="F22" s="1" t="s">
        <v>85</v>
      </c>
      <c r="G22" s="31">
        <v>95</v>
      </c>
      <c r="H22" s="1" t="s">
        <v>84</v>
      </c>
      <c r="J22" s="20">
        <v>13</v>
      </c>
      <c r="K22" s="44">
        <f t="shared" si="16"/>
        <v>165.97290039063702</v>
      </c>
      <c r="L22" s="44">
        <f t="shared" si="0"/>
        <v>250</v>
      </c>
      <c r="M22" s="44">
        <f t="shared" si="1"/>
        <v>150</v>
      </c>
      <c r="N22" s="44">
        <f t="shared" si="2"/>
        <v>100</v>
      </c>
      <c r="O22" s="44">
        <f t="shared" si="10"/>
        <v>65.548116968892842</v>
      </c>
      <c r="P22" s="44">
        <f t="shared" si="3"/>
        <v>0.94699999999999995</v>
      </c>
      <c r="Q22" s="44">
        <f t="shared" si="11"/>
        <v>62.074066769541517</v>
      </c>
      <c r="R22" s="45">
        <f t="shared" si="4"/>
        <v>60411.70161965365</v>
      </c>
      <c r="S22" s="44">
        <f t="shared" si="12"/>
        <v>375.69466181376646</v>
      </c>
      <c r="T22" s="46">
        <f t="shared" si="5"/>
        <v>13525007.825295594</v>
      </c>
      <c r="U22" s="47">
        <f t="shared" si="6"/>
        <v>943746.75593900192</v>
      </c>
      <c r="V22" s="44">
        <f t="shared" si="7"/>
        <v>65.950599044430305</v>
      </c>
      <c r="W22" s="44">
        <f t="shared" si="13"/>
        <v>165.95059904443031</v>
      </c>
      <c r="X22" s="44">
        <f t="shared" si="14"/>
        <v>165.95458984376205</v>
      </c>
      <c r="Y22" s="44">
        <f t="shared" si="15"/>
        <v>165.99121093751199</v>
      </c>
      <c r="Z22" s="44">
        <f t="shared" si="8"/>
        <v>1.515773892126655</v>
      </c>
      <c r="AA22" s="44">
        <f t="shared" si="9"/>
        <v>0.43981933593758016</v>
      </c>
    </row>
    <row r="23" spans="2:27" x14ac:dyDescent="0.25">
      <c r="B23" s="1" t="s">
        <v>77</v>
      </c>
      <c r="C23" s="37">
        <f>Q39</f>
        <v>62.080339741970839</v>
      </c>
      <c r="D23" s="10" t="s">
        <v>19</v>
      </c>
      <c r="J23" s="20">
        <v>14</v>
      </c>
      <c r="K23" s="44">
        <f t="shared" si="16"/>
        <v>165.96374511719955</v>
      </c>
      <c r="L23" s="44">
        <f t="shared" si="0"/>
        <v>250</v>
      </c>
      <c r="M23" s="44">
        <f t="shared" si="1"/>
        <v>150</v>
      </c>
      <c r="N23" s="44">
        <f t="shared" si="2"/>
        <v>100</v>
      </c>
      <c r="O23" s="44">
        <f t="shared" si="10"/>
        <v>65.551995417699374</v>
      </c>
      <c r="P23" s="44">
        <f t="shared" si="3"/>
        <v>0.94699999999999995</v>
      </c>
      <c r="Q23" s="44">
        <f t="shared" si="11"/>
        <v>62.077739660561306</v>
      </c>
      <c r="R23" s="45">
        <f t="shared" si="4"/>
        <v>60408.127301426495</v>
      </c>
      <c r="S23" s="44">
        <f t="shared" si="12"/>
        <v>375.67243346658267</v>
      </c>
      <c r="T23" s="46">
        <f t="shared" si="5"/>
        <v>13524207.604796976</v>
      </c>
      <c r="U23" s="47">
        <f t="shared" si="6"/>
        <v>943690.91822642076</v>
      </c>
      <c r="V23" s="44">
        <f t="shared" si="7"/>
        <v>65.954501307896948</v>
      </c>
      <c r="W23" s="44">
        <f t="shared" si="13"/>
        <v>165.95450130789695</v>
      </c>
      <c r="X23" s="44">
        <f t="shared" si="14"/>
        <v>165.95458984376205</v>
      </c>
      <c r="Y23" s="44">
        <f t="shared" si="15"/>
        <v>165.97290039063702</v>
      </c>
      <c r="Z23" s="44">
        <f t="shared" si="8"/>
        <v>1.5159842701824666</v>
      </c>
      <c r="AA23" s="44">
        <f t="shared" si="9"/>
        <v>0.43975830078133032</v>
      </c>
    </row>
    <row r="24" spans="2:27" ht="17.25" x14ac:dyDescent="0.25">
      <c r="B24" s="1" t="s">
        <v>63</v>
      </c>
      <c r="C24" s="38">
        <f>R39</f>
        <v>60405.597256497073</v>
      </c>
      <c r="D24" s="10" t="s">
        <v>93</v>
      </c>
      <c r="F24" s="1" t="s">
        <v>90</v>
      </c>
      <c r="G24" s="36">
        <f>M64</f>
        <v>225394.01961379504</v>
      </c>
      <c r="H24" s="10" t="s">
        <v>92</v>
      </c>
      <c r="J24" s="20">
        <v>15</v>
      </c>
      <c r="K24" s="44">
        <f t="shared" si="16"/>
        <v>165.9591674804808</v>
      </c>
      <c r="L24" s="44">
        <f t="shared" si="0"/>
        <v>250</v>
      </c>
      <c r="M24" s="44">
        <f t="shared" si="1"/>
        <v>150</v>
      </c>
      <c r="N24" s="44">
        <f t="shared" si="2"/>
        <v>100</v>
      </c>
      <c r="O24" s="44">
        <f t="shared" si="10"/>
        <v>65.553934593691721</v>
      </c>
      <c r="P24" s="44">
        <f t="shared" si="3"/>
        <v>0.94699999999999995</v>
      </c>
      <c r="Q24" s="44">
        <f t="shared" si="11"/>
        <v>62.07957606022606</v>
      </c>
      <c r="R24" s="45">
        <f t="shared" si="4"/>
        <v>60406.340345526267</v>
      </c>
      <c r="S24" s="44">
        <f t="shared" si="12"/>
        <v>375.66132055675536</v>
      </c>
      <c r="T24" s="46">
        <f t="shared" si="5"/>
        <v>13523807.540043192</v>
      </c>
      <c r="U24" s="47">
        <f t="shared" si="6"/>
        <v>943663.00254471286</v>
      </c>
      <c r="V24" s="44">
        <f t="shared" si="7"/>
        <v>65.956452390922081</v>
      </c>
      <c r="W24" s="44">
        <f t="shared" si="13"/>
        <v>165.9564523909221</v>
      </c>
      <c r="X24" s="44">
        <f t="shared" si="14"/>
        <v>165.95458984376205</v>
      </c>
      <c r="Y24" s="44">
        <f t="shared" si="15"/>
        <v>165.96374511719955</v>
      </c>
      <c r="Z24" s="44">
        <f t="shared" si="8"/>
        <v>1.5160894811110655</v>
      </c>
      <c r="AA24" s="44">
        <f t="shared" si="9"/>
        <v>0.43972778320320532</v>
      </c>
    </row>
    <row r="25" spans="2:27" ht="18.75" x14ac:dyDescent="0.35">
      <c r="B25" s="1" t="s">
        <v>64</v>
      </c>
      <c r="C25" s="15">
        <f>Q48</f>
        <v>375.65669935632508</v>
      </c>
      <c r="D25" s="10" t="s">
        <v>93</v>
      </c>
      <c r="F25" s="1" t="s">
        <v>86</v>
      </c>
      <c r="G25" s="16">
        <f>Q59</f>
        <v>0.75092331317257921</v>
      </c>
      <c r="H25" s="10" t="s">
        <v>125</v>
      </c>
      <c r="J25" s="20">
        <v>16</v>
      </c>
      <c r="K25" s="44">
        <f t="shared" si="16"/>
        <v>165.95687866212143</v>
      </c>
      <c r="L25" s="44">
        <f t="shared" si="0"/>
        <v>250</v>
      </c>
      <c r="M25" s="44">
        <f t="shared" si="1"/>
        <v>150</v>
      </c>
      <c r="N25" s="44">
        <f t="shared" si="2"/>
        <v>100</v>
      </c>
      <c r="O25" s="44">
        <f t="shared" si="10"/>
        <v>65.55490416958628</v>
      </c>
      <c r="P25" s="44">
        <f t="shared" si="3"/>
        <v>0.94699999999999995</v>
      </c>
      <c r="Q25" s="44">
        <f t="shared" si="11"/>
        <v>62.080494248598207</v>
      </c>
      <c r="R25" s="45">
        <f t="shared" si="4"/>
        <v>60405.446918372043</v>
      </c>
      <c r="S25" s="44">
        <f t="shared" si="12"/>
        <v>375.65576441773658</v>
      </c>
      <c r="T25" s="46">
        <f t="shared" si="5"/>
        <v>13523607.519038517</v>
      </c>
      <c r="U25" s="47">
        <f t="shared" si="6"/>
        <v>943649.04549738835</v>
      </c>
      <c r="V25" s="44">
        <f t="shared" si="7"/>
        <v>65.957427920258723</v>
      </c>
      <c r="W25" s="44">
        <f t="shared" si="13"/>
        <v>165.95742792025874</v>
      </c>
      <c r="X25" s="44">
        <f t="shared" si="14"/>
        <v>165.95458984376205</v>
      </c>
      <c r="Y25" s="44">
        <f t="shared" si="15"/>
        <v>165.9591674804808</v>
      </c>
      <c r="Z25" s="44">
        <f t="shared" si="8"/>
        <v>1.5161420920518682</v>
      </c>
      <c r="AA25" s="44">
        <f t="shared" si="9"/>
        <v>0.43971252441414282</v>
      </c>
    </row>
    <row r="26" spans="2:27" x14ac:dyDescent="0.25">
      <c r="B26" s="1" t="s">
        <v>65</v>
      </c>
      <c r="C26" s="37">
        <f>Q47</f>
        <v>12.52188997854417</v>
      </c>
      <c r="D26" s="10" t="s">
        <v>27</v>
      </c>
      <c r="F26" s="1" t="s">
        <v>88</v>
      </c>
      <c r="G26" s="15">
        <f>Q60</f>
        <v>35.505270395988312</v>
      </c>
      <c r="H26" s="10" t="s">
        <v>81</v>
      </c>
      <c r="I26" s="39"/>
      <c r="J26" s="20">
        <v>17</v>
      </c>
      <c r="K26" s="44">
        <f t="shared" si="16"/>
        <v>165.95802307130111</v>
      </c>
      <c r="L26" s="44">
        <f t="shared" si="0"/>
        <v>250</v>
      </c>
      <c r="M26" s="44">
        <f t="shared" si="1"/>
        <v>150</v>
      </c>
      <c r="N26" s="44">
        <f t="shared" si="2"/>
        <v>100</v>
      </c>
      <c r="O26" s="44">
        <f t="shared" si="10"/>
        <v>65.554419382647424</v>
      </c>
      <c r="P26" s="44">
        <f t="shared" si="3"/>
        <v>0.94699999999999995</v>
      </c>
      <c r="Q26" s="44">
        <f t="shared" si="11"/>
        <v>62.080035155367106</v>
      </c>
      <c r="R26" s="45">
        <f t="shared" si="4"/>
        <v>60405.893627716403</v>
      </c>
      <c r="S26" s="44">
        <f t="shared" si="12"/>
        <v>375.65854246092289</v>
      </c>
      <c r="T26" s="46">
        <f t="shared" si="5"/>
        <v>13523707.528593225</v>
      </c>
      <c r="U26" s="47">
        <f t="shared" si="6"/>
        <v>943656.02395492699</v>
      </c>
      <c r="V26" s="44">
        <f t="shared" si="7"/>
        <v>65.956940156605</v>
      </c>
      <c r="W26" s="44">
        <f t="shared" si="13"/>
        <v>165.95694015660501</v>
      </c>
      <c r="X26" s="44">
        <f t="shared" si="14"/>
        <v>165.95687866212143</v>
      </c>
      <c r="Y26" s="44">
        <f t="shared" si="15"/>
        <v>165.9591674804808</v>
      </c>
      <c r="Z26" s="44">
        <f t="shared" si="8"/>
        <v>1.516115786125052</v>
      </c>
      <c r="AA26" s="44">
        <f t="shared" si="9"/>
        <v>0.43972015380867407</v>
      </c>
    </row>
    <row r="27" spans="2:27" x14ac:dyDescent="0.25">
      <c r="B27" s="1" t="s">
        <v>71</v>
      </c>
      <c r="C27" s="38">
        <f>Q50</f>
        <v>360.84586174729435</v>
      </c>
      <c r="F27" s="1" t="s">
        <v>91</v>
      </c>
      <c r="G27" s="15">
        <f>G26/(G22/100)</f>
        <v>37.373968837882437</v>
      </c>
      <c r="H27" s="10" t="s">
        <v>81</v>
      </c>
      <c r="I27" s="39"/>
      <c r="J27" s="20">
        <v>18</v>
      </c>
      <c r="K27" s="44">
        <f t="shared" si="16"/>
        <v>165.95745086671127</v>
      </c>
      <c r="L27" s="44">
        <f t="shared" si="0"/>
        <v>250</v>
      </c>
      <c r="M27" s="44">
        <f t="shared" si="1"/>
        <v>150</v>
      </c>
      <c r="N27" s="44">
        <f t="shared" si="2"/>
        <v>100</v>
      </c>
      <c r="O27" s="44">
        <f t="shared" si="10"/>
        <v>65.55466177636896</v>
      </c>
      <c r="P27" s="44">
        <f t="shared" si="3"/>
        <v>0.94699999999999995</v>
      </c>
      <c r="Q27" s="44">
        <f t="shared" si="11"/>
        <v>62.080264702221399</v>
      </c>
      <c r="R27" s="45">
        <f t="shared" si="4"/>
        <v>60405.670271986048</v>
      </c>
      <c r="S27" s="44">
        <f t="shared" si="12"/>
        <v>375.657153432749</v>
      </c>
      <c r="T27" s="46">
        <f t="shared" si="5"/>
        <v>13523657.523578964</v>
      </c>
      <c r="U27" s="47">
        <f t="shared" si="6"/>
        <v>943652.53470962681</v>
      </c>
      <c r="V27" s="44">
        <f t="shared" si="7"/>
        <v>65.957184038685526</v>
      </c>
      <c r="W27" s="44">
        <f t="shared" si="13"/>
        <v>165.95718403868551</v>
      </c>
      <c r="X27" s="44">
        <f t="shared" si="14"/>
        <v>165.95687866212143</v>
      </c>
      <c r="Y27" s="44">
        <f t="shared" si="15"/>
        <v>165.95802307130111</v>
      </c>
      <c r="Z27" s="44">
        <f t="shared" si="8"/>
        <v>1.5161289389743533</v>
      </c>
      <c r="AA27" s="44">
        <f t="shared" si="9"/>
        <v>0.43971633911140845</v>
      </c>
    </row>
    <row r="28" spans="2:27" x14ac:dyDescent="0.25">
      <c r="B28" s="1" t="s">
        <v>89</v>
      </c>
      <c r="C28" s="38">
        <f>C27/G15</f>
        <v>60.140976957882394</v>
      </c>
      <c r="J28" s="20">
        <v>19</v>
      </c>
      <c r="K28" s="44">
        <f t="shared" si="16"/>
        <v>165.95716476441635</v>
      </c>
      <c r="L28" s="44">
        <f t="shared" si="0"/>
        <v>250</v>
      </c>
      <c r="M28" s="44">
        <f t="shared" si="1"/>
        <v>150</v>
      </c>
      <c r="N28" s="44">
        <f t="shared" si="2"/>
        <v>100</v>
      </c>
      <c r="O28" s="44">
        <f t="shared" si="10"/>
        <v>65.554782973040645</v>
      </c>
      <c r="P28" s="44">
        <f t="shared" si="3"/>
        <v>0.94699999999999995</v>
      </c>
      <c r="Q28" s="44">
        <f t="shared" si="11"/>
        <v>62.080379475469485</v>
      </c>
      <c r="R28" s="45">
        <f t="shared" si="4"/>
        <v>60405.55859491451</v>
      </c>
      <c r="S28" s="44">
        <f t="shared" si="12"/>
        <v>375.65645892359765</v>
      </c>
      <c r="T28" s="46">
        <f t="shared" si="5"/>
        <v>13523632.521249516</v>
      </c>
      <c r="U28" s="47">
        <f t="shared" si="6"/>
        <v>943650.79009937495</v>
      </c>
      <c r="V28" s="44">
        <f t="shared" si="7"/>
        <v>65.957305979535533</v>
      </c>
      <c r="W28" s="44">
        <f t="shared" si="13"/>
        <v>165.95730597953553</v>
      </c>
      <c r="X28" s="44">
        <f t="shared" si="14"/>
        <v>165.95687866212143</v>
      </c>
      <c r="Y28" s="44">
        <f t="shared" si="15"/>
        <v>165.95745086671127</v>
      </c>
      <c r="Z28" s="44">
        <f t="shared" si="8"/>
        <v>1.5161355154845837</v>
      </c>
      <c r="AA28" s="44">
        <f t="shared" si="9"/>
        <v>0.43971443176277564</v>
      </c>
    </row>
    <row r="29" spans="2:27" x14ac:dyDescent="0.25">
      <c r="J29" s="20">
        <v>20</v>
      </c>
      <c r="K29" s="44">
        <f t="shared" si="16"/>
        <v>165.95730781556381</v>
      </c>
      <c r="L29" s="44">
        <f t="shared" si="0"/>
        <v>250</v>
      </c>
      <c r="M29" s="44">
        <f t="shared" si="1"/>
        <v>150</v>
      </c>
      <c r="N29" s="44">
        <f t="shared" si="2"/>
        <v>100</v>
      </c>
      <c r="O29" s="44">
        <f t="shared" si="10"/>
        <v>65.554722374720555</v>
      </c>
      <c r="P29" s="44">
        <f t="shared" si="3"/>
        <v>0.94699999999999995</v>
      </c>
      <c r="Q29" s="44">
        <f t="shared" si="11"/>
        <v>62.080322088860363</v>
      </c>
      <c r="R29" s="45">
        <f t="shared" si="4"/>
        <v>60405.614433384144</v>
      </c>
      <c r="S29" s="44">
        <f t="shared" si="12"/>
        <v>375.65680617776206</v>
      </c>
      <c r="T29" s="46">
        <f t="shared" si="5"/>
        <v>13523645.022399433</v>
      </c>
      <c r="U29" s="47">
        <f t="shared" si="6"/>
        <v>943651.66240346769</v>
      </c>
      <c r="V29" s="44">
        <f t="shared" si="7"/>
        <v>65.957245009126396</v>
      </c>
      <c r="W29" s="44">
        <f t="shared" si="13"/>
        <v>165.95724500912638</v>
      </c>
      <c r="X29" s="44">
        <f t="shared" si="14"/>
        <v>165.95716476441635</v>
      </c>
      <c r="Y29" s="44">
        <f t="shared" si="15"/>
        <v>165.95745086671127</v>
      </c>
      <c r="Z29" s="44">
        <f t="shared" si="8"/>
        <v>1.5161322272223368</v>
      </c>
      <c r="AA29" s="44">
        <f t="shared" si="9"/>
        <v>0.43971538543709204</v>
      </c>
    </row>
    <row r="30" spans="2:27" x14ac:dyDescent="0.25">
      <c r="J30" s="20">
        <v>21</v>
      </c>
      <c r="K30" s="44">
        <f t="shared" si="16"/>
        <v>165.95723628999008</v>
      </c>
      <c r="L30" s="44">
        <f t="shared" si="0"/>
        <v>250</v>
      </c>
      <c r="M30" s="44">
        <f t="shared" si="1"/>
        <v>150</v>
      </c>
      <c r="N30" s="44">
        <f t="shared" si="2"/>
        <v>100</v>
      </c>
      <c r="O30" s="44">
        <f t="shared" si="10"/>
        <v>65.554752673884551</v>
      </c>
      <c r="P30" s="44">
        <f t="shared" si="3"/>
        <v>0.94699999999999995</v>
      </c>
      <c r="Q30" s="44">
        <f t="shared" si="11"/>
        <v>62.080350782168665</v>
      </c>
      <c r="R30" s="45">
        <f t="shared" si="4"/>
        <v>60405.586514132781</v>
      </c>
      <c r="S30" s="44">
        <f t="shared" si="12"/>
        <v>375.65663255057694</v>
      </c>
      <c r="T30" s="46">
        <f t="shared" si="5"/>
        <v>13523638.771820771</v>
      </c>
      <c r="U30" s="47">
        <f t="shared" si="6"/>
        <v>943651.22625116294</v>
      </c>
      <c r="V30" s="44">
        <f t="shared" si="7"/>
        <v>65.957275494334937</v>
      </c>
      <c r="W30" s="44">
        <f t="shared" si="13"/>
        <v>165.95727549433494</v>
      </c>
      <c r="X30" s="44">
        <f t="shared" si="14"/>
        <v>165.95716476441635</v>
      </c>
      <c r="Y30" s="44">
        <f t="shared" si="15"/>
        <v>165.95730781556381</v>
      </c>
      <c r="Z30" s="44">
        <f t="shared" si="8"/>
        <v>1.5161338713516774</v>
      </c>
      <c r="AA30" s="44">
        <f t="shared" si="9"/>
        <v>0.43971490859993384</v>
      </c>
    </row>
    <row r="31" spans="2:27" x14ac:dyDescent="0.25">
      <c r="J31" s="20">
        <v>22</v>
      </c>
      <c r="K31" s="44">
        <f t="shared" si="16"/>
        <v>165.95727205277694</v>
      </c>
      <c r="L31" s="44">
        <f t="shared" si="0"/>
        <v>250</v>
      </c>
      <c r="M31" s="44">
        <f t="shared" si="1"/>
        <v>150</v>
      </c>
      <c r="N31" s="44">
        <f t="shared" si="2"/>
        <v>100</v>
      </c>
      <c r="O31" s="44">
        <f t="shared" si="10"/>
        <v>65.554737524303533</v>
      </c>
      <c r="P31" s="44">
        <f t="shared" si="3"/>
        <v>0.94699999999999995</v>
      </c>
      <c r="Q31" s="44">
        <f t="shared" si="11"/>
        <v>62.080336435515441</v>
      </c>
      <c r="R31" s="45">
        <f t="shared" si="4"/>
        <v>60405.600473754334</v>
      </c>
      <c r="S31" s="44">
        <f t="shared" si="12"/>
        <v>375.65671936414384</v>
      </c>
      <c r="T31" s="46">
        <f t="shared" si="5"/>
        <v>13523641.897109179</v>
      </c>
      <c r="U31" s="47">
        <f t="shared" si="6"/>
        <v>943651.44432725094</v>
      </c>
      <c r="V31" s="44">
        <f t="shared" si="7"/>
        <v>65.95726025173164</v>
      </c>
      <c r="W31" s="44">
        <f t="shared" si="13"/>
        <v>165.95726025173164</v>
      </c>
      <c r="X31" s="44">
        <f t="shared" si="14"/>
        <v>165.95723628999008</v>
      </c>
      <c r="Y31" s="44">
        <f t="shared" si="15"/>
        <v>165.95730781556381</v>
      </c>
      <c r="Z31" s="44">
        <f t="shared" si="8"/>
        <v>1.5161330492865612</v>
      </c>
      <c r="AA31" s="44">
        <f t="shared" si="9"/>
        <v>0.43971514701851294</v>
      </c>
    </row>
    <row r="32" spans="2:27" x14ac:dyDescent="0.25">
      <c r="J32" s="20">
        <v>23</v>
      </c>
      <c r="K32" s="44">
        <f t="shared" si="16"/>
        <v>165.95725417138351</v>
      </c>
      <c r="L32" s="44">
        <f t="shared" si="0"/>
        <v>250</v>
      </c>
      <c r="M32" s="44">
        <f t="shared" si="1"/>
        <v>150</v>
      </c>
      <c r="N32" s="44">
        <f t="shared" si="2"/>
        <v>100</v>
      </c>
      <c r="O32" s="44">
        <f t="shared" si="10"/>
        <v>65.554745099094291</v>
      </c>
      <c r="P32" s="44">
        <f t="shared" si="3"/>
        <v>0.94699999999999995</v>
      </c>
      <c r="Q32" s="44">
        <f t="shared" si="11"/>
        <v>62.080343608842291</v>
      </c>
      <c r="R32" s="45">
        <f t="shared" si="4"/>
        <v>60405.593493942521</v>
      </c>
      <c r="S32" s="44">
        <f t="shared" si="12"/>
        <v>375.65667595735397</v>
      </c>
      <c r="T32" s="46">
        <f t="shared" si="5"/>
        <v>13523640.334464744</v>
      </c>
      <c r="U32" s="47">
        <f t="shared" si="6"/>
        <v>943651.33528919076</v>
      </c>
      <c r="V32" s="44">
        <f t="shared" si="7"/>
        <v>65.95726787303353</v>
      </c>
      <c r="W32" s="44">
        <f t="shared" si="13"/>
        <v>165.95726787303352</v>
      </c>
      <c r="X32" s="44">
        <f t="shared" si="14"/>
        <v>165.95723628999008</v>
      </c>
      <c r="Y32" s="44">
        <f t="shared" si="15"/>
        <v>165.95727205277694</v>
      </c>
      <c r="Z32" s="44">
        <f t="shared" si="8"/>
        <v>1.516133460319008</v>
      </c>
      <c r="AA32" s="44">
        <f t="shared" si="9"/>
        <v>0.43971502780922339</v>
      </c>
    </row>
    <row r="33" spans="10:27" x14ac:dyDescent="0.25">
      <c r="J33" s="20">
        <v>24</v>
      </c>
      <c r="K33" s="44">
        <f t="shared" si="16"/>
        <v>165.95726311208023</v>
      </c>
      <c r="L33" s="44">
        <f t="shared" si="0"/>
        <v>250</v>
      </c>
      <c r="M33" s="44">
        <f t="shared" si="1"/>
        <v>150</v>
      </c>
      <c r="N33" s="44">
        <f t="shared" si="2"/>
        <v>100</v>
      </c>
      <c r="O33" s="44">
        <f t="shared" si="10"/>
        <v>65.554741311698976</v>
      </c>
      <c r="P33" s="44">
        <f t="shared" si="3"/>
        <v>0.94699999999999995</v>
      </c>
      <c r="Q33" s="44">
        <f t="shared" si="11"/>
        <v>62.08034002217893</v>
      </c>
      <c r="R33" s="45">
        <f t="shared" si="4"/>
        <v>60405.596983848161</v>
      </c>
      <c r="S33" s="44">
        <f t="shared" si="12"/>
        <v>375.65669766074723</v>
      </c>
      <c r="T33" s="46">
        <f t="shared" si="5"/>
        <v>13523641.115786899</v>
      </c>
      <c r="U33" s="47">
        <f t="shared" si="6"/>
        <v>943651.38980821648</v>
      </c>
      <c r="V33" s="44">
        <f t="shared" si="7"/>
        <v>65.957264062382663</v>
      </c>
      <c r="W33" s="44">
        <f t="shared" si="13"/>
        <v>165.95726406238265</v>
      </c>
      <c r="X33" s="44">
        <f t="shared" si="14"/>
        <v>165.95725417138351</v>
      </c>
      <c r="Y33" s="44">
        <f t="shared" si="15"/>
        <v>165.95727205277694</v>
      </c>
      <c r="Z33" s="44">
        <f t="shared" si="8"/>
        <v>1.5161332548027568</v>
      </c>
      <c r="AA33" s="44">
        <f t="shared" si="9"/>
        <v>0.43971508741386817</v>
      </c>
    </row>
    <row r="34" spans="10:27" x14ac:dyDescent="0.25">
      <c r="J34" s="20">
        <v>25</v>
      </c>
      <c r="K34" s="44">
        <f t="shared" si="16"/>
        <v>165.95726758242859</v>
      </c>
      <c r="L34" s="44">
        <f t="shared" si="0"/>
        <v>250</v>
      </c>
      <c r="M34" s="44">
        <f t="shared" si="1"/>
        <v>150</v>
      </c>
      <c r="N34" s="44">
        <f t="shared" si="2"/>
        <v>100</v>
      </c>
      <c r="O34" s="44">
        <f t="shared" si="10"/>
        <v>65.554739418001276</v>
      </c>
      <c r="P34" s="44">
        <f t="shared" si="3"/>
        <v>0.94699999999999995</v>
      </c>
      <c r="Q34" s="44">
        <f t="shared" si="11"/>
        <v>62.080338228847204</v>
      </c>
      <c r="R34" s="45">
        <f t="shared" si="4"/>
        <v>60405.598728801182</v>
      </c>
      <c r="S34" s="44">
        <f t="shared" si="12"/>
        <v>375.65670851244511</v>
      </c>
      <c r="T34" s="46">
        <f t="shared" si="5"/>
        <v>13523641.506448023</v>
      </c>
      <c r="U34" s="47">
        <f t="shared" si="6"/>
        <v>943651.41706773255</v>
      </c>
      <c r="V34" s="44">
        <f t="shared" si="7"/>
        <v>65.957262157057187</v>
      </c>
      <c r="W34" s="44">
        <f t="shared" si="13"/>
        <v>165.95726215705719</v>
      </c>
      <c r="X34" s="44">
        <f t="shared" si="14"/>
        <v>165.95726311208023</v>
      </c>
      <c r="Y34" s="44">
        <f t="shared" si="15"/>
        <v>165.95727205277694</v>
      </c>
      <c r="Z34" s="44">
        <f t="shared" si="8"/>
        <v>1.5161331520446522</v>
      </c>
      <c r="AA34" s="44">
        <f t="shared" si="9"/>
        <v>0.43971511721619055</v>
      </c>
    </row>
    <row r="35" spans="10:27" x14ac:dyDescent="0.25">
      <c r="J35" s="20">
        <v>26</v>
      </c>
      <c r="K35" s="44">
        <f t="shared" si="16"/>
        <v>165.95726534725441</v>
      </c>
      <c r="L35" s="44">
        <f t="shared" si="0"/>
        <v>250</v>
      </c>
      <c r="M35" s="44">
        <f t="shared" si="1"/>
        <v>150</v>
      </c>
      <c r="N35" s="44">
        <f t="shared" si="2"/>
        <v>100</v>
      </c>
      <c r="O35" s="44">
        <f t="shared" si="10"/>
        <v>65.554740364850133</v>
      </c>
      <c r="P35" s="44">
        <f t="shared" si="3"/>
        <v>0.94699999999999995</v>
      </c>
      <c r="Q35" s="44">
        <f t="shared" si="11"/>
        <v>62.080339125513071</v>
      </c>
      <c r="R35" s="45">
        <f t="shared" si="4"/>
        <v>60405.597856324654</v>
      </c>
      <c r="S35" s="44">
        <f t="shared" si="12"/>
        <v>375.65670308659605</v>
      </c>
      <c r="T35" s="46">
        <f t="shared" si="5"/>
        <v>13523641.311117457</v>
      </c>
      <c r="U35" s="47">
        <f t="shared" si="6"/>
        <v>943651.40343797428</v>
      </c>
      <c r="V35" s="44">
        <f t="shared" si="7"/>
        <v>65.957263109719932</v>
      </c>
      <c r="W35" s="44">
        <f t="shared" si="13"/>
        <v>165.95726310971992</v>
      </c>
      <c r="X35" s="44">
        <f t="shared" si="14"/>
        <v>165.95726311208023</v>
      </c>
      <c r="Y35" s="44">
        <f t="shared" si="15"/>
        <v>165.95726758242859</v>
      </c>
      <c r="Z35" s="44">
        <f t="shared" si="8"/>
        <v>1.5161332034237027</v>
      </c>
      <c r="AA35" s="44">
        <f t="shared" si="9"/>
        <v>0.43971510231502936</v>
      </c>
    </row>
    <row r="36" spans="10:27" x14ac:dyDescent="0.25">
      <c r="J36" s="20">
        <v>27</v>
      </c>
      <c r="K36" s="44">
        <f t="shared" si="16"/>
        <v>165.95726422966732</v>
      </c>
      <c r="L36" s="44">
        <f t="shared" si="0"/>
        <v>250</v>
      </c>
      <c r="M36" s="44">
        <f t="shared" si="1"/>
        <v>150</v>
      </c>
      <c r="N36" s="44">
        <f t="shared" si="2"/>
        <v>100</v>
      </c>
      <c r="O36" s="44">
        <f t="shared" si="10"/>
        <v>65.55474083827454</v>
      </c>
      <c r="P36" s="44">
        <f t="shared" si="3"/>
        <v>0.94699999999999995</v>
      </c>
      <c r="Q36" s="44">
        <f t="shared" si="11"/>
        <v>62.08033957384599</v>
      </c>
      <c r="R36" s="45">
        <f t="shared" si="4"/>
        <v>60405.597420086415</v>
      </c>
      <c r="S36" s="44">
        <f t="shared" si="12"/>
        <v>375.6567003736717</v>
      </c>
      <c r="T36" s="46">
        <f t="shared" si="5"/>
        <v>13523641.213452181</v>
      </c>
      <c r="U36" s="47">
        <f t="shared" si="6"/>
        <v>943651.39662309561</v>
      </c>
      <c r="V36" s="44">
        <f t="shared" si="7"/>
        <v>65.957263586051283</v>
      </c>
      <c r="W36" s="44">
        <f t="shared" si="13"/>
        <v>165.95726358605128</v>
      </c>
      <c r="X36" s="44">
        <f t="shared" si="14"/>
        <v>165.95726311208023</v>
      </c>
      <c r="Y36" s="44">
        <f t="shared" si="15"/>
        <v>165.95726534725441</v>
      </c>
      <c r="Z36" s="44">
        <f t="shared" si="8"/>
        <v>1.5161332291132292</v>
      </c>
      <c r="AA36" s="44">
        <f t="shared" si="9"/>
        <v>0.43971509486444876</v>
      </c>
    </row>
    <row r="37" spans="10:27" x14ac:dyDescent="0.25">
      <c r="J37" s="20">
        <v>28</v>
      </c>
      <c r="K37" s="44">
        <f t="shared" si="16"/>
        <v>165.95726367087377</v>
      </c>
      <c r="L37" s="44">
        <f t="shared" si="0"/>
        <v>250</v>
      </c>
      <c r="M37" s="44">
        <f t="shared" si="1"/>
        <v>150</v>
      </c>
      <c r="N37" s="44">
        <f t="shared" si="2"/>
        <v>100</v>
      </c>
      <c r="O37" s="44">
        <f t="shared" si="10"/>
        <v>65.554741074986751</v>
      </c>
      <c r="P37" s="44">
        <f t="shared" si="3"/>
        <v>0.94699999999999995</v>
      </c>
      <c r="Q37" s="44">
        <f t="shared" si="11"/>
        <v>62.080339798012453</v>
      </c>
      <c r="R37" s="45">
        <f t="shared" si="4"/>
        <v>60405.597201967299</v>
      </c>
      <c r="S37" s="44">
        <f t="shared" si="12"/>
        <v>375.65669901720952</v>
      </c>
      <c r="T37" s="46">
        <f t="shared" si="5"/>
        <v>13523641.164619543</v>
      </c>
      <c r="U37" s="47">
        <f t="shared" si="6"/>
        <v>943651.39321565616</v>
      </c>
      <c r="V37" s="44">
        <f t="shared" si="7"/>
        <v>65.957263824216966</v>
      </c>
      <c r="W37" s="44">
        <f t="shared" si="13"/>
        <v>165.95726382421697</v>
      </c>
      <c r="X37" s="44">
        <f t="shared" si="14"/>
        <v>165.95726311208023</v>
      </c>
      <c r="Y37" s="44">
        <f t="shared" si="15"/>
        <v>165.95726422966732</v>
      </c>
      <c r="Z37" s="44">
        <f t="shared" si="8"/>
        <v>1.5161332419579929</v>
      </c>
      <c r="AA37" s="44">
        <f t="shared" si="9"/>
        <v>0.43971509113915846</v>
      </c>
    </row>
    <row r="38" spans="10:27" x14ac:dyDescent="0.25">
      <c r="J38" s="20">
        <v>29</v>
      </c>
      <c r="K38" s="44">
        <f t="shared" si="16"/>
        <v>165.95726395027054</v>
      </c>
      <c r="L38" s="44">
        <f t="shared" si="0"/>
        <v>250</v>
      </c>
      <c r="M38" s="44">
        <f t="shared" si="1"/>
        <v>150</v>
      </c>
      <c r="N38" s="44">
        <f t="shared" si="2"/>
        <v>100</v>
      </c>
      <c r="O38" s="44">
        <f t="shared" si="10"/>
        <v>65.554740956630653</v>
      </c>
      <c r="P38" s="44">
        <f t="shared" si="3"/>
        <v>0.94699999999999995</v>
      </c>
      <c r="Q38" s="44">
        <f t="shared" si="11"/>
        <v>62.080339685929225</v>
      </c>
      <c r="R38" s="45">
        <f t="shared" si="4"/>
        <v>60405.597311026853</v>
      </c>
      <c r="S38" s="44">
        <f t="shared" si="12"/>
        <v>375.65669969544058</v>
      </c>
      <c r="T38" s="46">
        <f t="shared" si="5"/>
        <v>13523641.189035861</v>
      </c>
      <c r="U38" s="47">
        <f t="shared" si="6"/>
        <v>943651.39491937577</v>
      </c>
      <c r="V38" s="44">
        <f t="shared" si="7"/>
        <v>65.957263705134125</v>
      </c>
      <c r="W38" s="44">
        <f t="shared" si="13"/>
        <v>165.95726370513412</v>
      </c>
      <c r="X38" s="44">
        <f t="shared" si="14"/>
        <v>165.95726367087377</v>
      </c>
      <c r="Y38" s="44">
        <f t="shared" si="15"/>
        <v>165.95726422966732</v>
      </c>
      <c r="Z38" s="44">
        <f t="shared" si="8"/>
        <v>1.516133235535611</v>
      </c>
      <c r="AA38" s="44">
        <f t="shared" si="9"/>
        <v>0.43971509300180361</v>
      </c>
    </row>
    <row r="39" spans="10:27" x14ac:dyDescent="0.25">
      <c r="J39" s="20">
        <v>30</v>
      </c>
      <c r="K39" s="44">
        <f t="shared" si="16"/>
        <v>165.95726381057216</v>
      </c>
      <c r="L39" s="44">
        <f t="shared" si="0"/>
        <v>250</v>
      </c>
      <c r="M39" s="44">
        <f t="shared" si="1"/>
        <v>150</v>
      </c>
      <c r="N39" s="44">
        <f t="shared" si="2"/>
        <v>100</v>
      </c>
      <c r="O39" s="44">
        <f t="shared" si="10"/>
        <v>65.554741015808702</v>
      </c>
      <c r="P39" s="44">
        <f t="shared" si="3"/>
        <v>0.94699999999999995</v>
      </c>
      <c r="Q39" s="44">
        <f t="shared" si="11"/>
        <v>62.080339741970839</v>
      </c>
      <c r="R39" s="45">
        <f t="shared" si="4"/>
        <v>60405.597256497073</v>
      </c>
      <c r="S39" s="44">
        <f t="shared" si="12"/>
        <v>375.65669935632508</v>
      </c>
      <c r="T39" s="46">
        <f t="shared" si="5"/>
        <v>13523641.176827703</v>
      </c>
      <c r="U39" s="47">
        <f>T39*$M$48</f>
        <v>943651.39406751608</v>
      </c>
      <c r="V39" s="44">
        <f t="shared" si="7"/>
        <v>65.957263764675545</v>
      </c>
      <c r="W39" s="44">
        <f t="shared" si="13"/>
        <v>165.95726376467553</v>
      </c>
      <c r="X39" s="44">
        <f t="shared" si="14"/>
        <v>165.95726367087377</v>
      </c>
      <c r="Y39" s="44">
        <f t="shared" si="15"/>
        <v>165.95726395027054</v>
      </c>
      <c r="Z39" s="44">
        <f t="shared" si="8"/>
        <v>1.5161332387468021</v>
      </c>
      <c r="AA39" s="44">
        <f t="shared" si="9"/>
        <v>0.43971509207048104</v>
      </c>
    </row>
    <row r="40" spans="10:27" x14ac:dyDescent="0.25">
      <c r="K40" s="44"/>
      <c r="L40" s="44"/>
      <c r="M40" s="44"/>
      <c r="N40" s="44"/>
      <c r="O40" s="44"/>
      <c r="P40" s="44"/>
      <c r="Q40" s="44"/>
      <c r="R40" s="45"/>
      <c r="S40" s="44"/>
      <c r="T40" s="44"/>
      <c r="U40" s="44"/>
      <c r="V40" s="44"/>
      <c r="W40" s="44"/>
      <c r="X40" s="44"/>
      <c r="Y40" s="44"/>
    </row>
    <row r="41" spans="10:27" x14ac:dyDescent="0.25">
      <c r="K41" s="44">
        <f>(K39-32)*5/9</f>
        <v>74.420702116984529</v>
      </c>
    </row>
    <row r="43" spans="10:27" x14ac:dyDescent="0.25">
      <c r="K43" s="17" t="s">
        <v>50</v>
      </c>
      <c r="O43" s="17" t="s">
        <v>66</v>
      </c>
    </row>
    <row r="44" spans="10:27" x14ac:dyDescent="0.25">
      <c r="K44" s="1" t="s">
        <v>51</v>
      </c>
      <c r="M44" s="44">
        <f>M73</f>
        <v>500</v>
      </c>
      <c r="N44" s="1" t="s">
        <v>27</v>
      </c>
      <c r="O44" s="1" t="s">
        <v>63</v>
      </c>
      <c r="Q44" s="44">
        <f>R39</f>
        <v>60405.597256497073</v>
      </c>
      <c r="R44" s="23" t="s">
        <v>7</v>
      </c>
    </row>
    <row r="45" spans="10:27" x14ac:dyDescent="0.25">
      <c r="K45" s="1" t="s">
        <v>52</v>
      </c>
      <c r="M45" s="44">
        <f>M71+459.67</f>
        <v>559.67000000000007</v>
      </c>
      <c r="N45" s="1" t="s">
        <v>53</v>
      </c>
      <c r="O45" s="1" t="s">
        <v>64</v>
      </c>
      <c r="Q45" s="44">
        <f>S39</f>
        <v>375.65669935632508</v>
      </c>
      <c r="R45" s="23" t="s">
        <v>7</v>
      </c>
    </row>
    <row r="46" spans="10:27" x14ac:dyDescent="0.25">
      <c r="K46" s="1" t="s">
        <v>55</v>
      </c>
      <c r="M46" s="48">
        <f>14.696*29/(10.7316*M45)</f>
        <v>7.0957880768973303E-2</v>
      </c>
      <c r="N46" s="1" t="s">
        <v>3</v>
      </c>
      <c r="O46" s="1" t="s">
        <v>67</v>
      </c>
      <c r="Q46" s="44">
        <f>Q45/Q69</f>
        <v>12.52188997854417</v>
      </c>
      <c r="R46" s="23" t="s">
        <v>27</v>
      </c>
    </row>
    <row r="47" spans="10:27" x14ac:dyDescent="0.25">
      <c r="K47" s="1" t="s">
        <v>56</v>
      </c>
      <c r="M47" s="44">
        <f>EXP(-29*M44/(1545*M45))</f>
        <v>0.98337080469162519</v>
      </c>
      <c r="Q47" s="44">
        <f>Q46</f>
        <v>12.52188997854417</v>
      </c>
      <c r="R47" s="23" t="s">
        <v>27</v>
      </c>
    </row>
    <row r="48" spans="10:27" x14ac:dyDescent="0.25">
      <c r="K48" s="1" t="s">
        <v>57</v>
      </c>
      <c r="M48" s="49">
        <f>M47*M46</f>
        <v>6.9777908310997672E-2</v>
      </c>
      <c r="N48" s="1" t="s">
        <v>3</v>
      </c>
      <c r="O48" s="1" t="s">
        <v>64</v>
      </c>
      <c r="Q48" s="44">
        <f>Q47*Q69</f>
        <v>375.65669935632508</v>
      </c>
      <c r="R48" s="23" t="s">
        <v>7</v>
      </c>
    </row>
    <row r="49" spans="11:21" x14ac:dyDescent="0.25">
      <c r="K49" s="1" t="s">
        <v>54</v>
      </c>
      <c r="M49" s="44">
        <v>0.24099999999999999</v>
      </c>
      <c r="O49" s="1" t="s">
        <v>68</v>
      </c>
      <c r="Q49" s="44">
        <f>Q44/(Q69*R4)</f>
        <v>360.84586174729435</v>
      </c>
    </row>
    <row r="50" spans="11:21" x14ac:dyDescent="0.25">
      <c r="K50" s="1" t="s">
        <v>106</v>
      </c>
      <c r="M50" s="44">
        <f>M48/0.075</f>
        <v>0.93037211081330229</v>
      </c>
      <c r="Q50" s="50">
        <f>Q49</f>
        <v>360.84586174729435</v>
      </c>
    </row>
    <row r="51" spans="11:21" x14ac:dyDescent="0.25">
      <c r="O51" s="1" t="s">
        <v>70</v>
      </c>
      <c r="Q51" s="44">
        <f>Q50/G15</f>
        <v>60.140976957882394</v>
      </c>
    </row>
    <row r="53" spans="11:21" x14ac:dyDescent="0.25">
      <c r="K53" s="17" t="s">
        <v>79</v>
      </c>
      <c r="O53" s="17" t="s">
        <v>98</v>
      </c>
    </row>
    <row r="54" spans="11:21" x14ac:dyDescent="0.25">
      <c r="K54" s="1" t="s">
        <v>9</v>
      </c>
      <c r="M54" s="44">
        <f>R5*G15*(M72/100)^1.8</f>
        <v>0.55850263332224626</v>
      </c>
      <c r="N54" s="1" t="s">
        <v>87</v>
      </c>
      <c r="O54" s="1" t="s">
        <v>99</v>
      </c>
      <c r="Q54" s="44">
        <v>2</v>
      </c>
    </row>
    <row r="55" spans="11:21" x14ac:dyDescent="0.25">
      <c r="K55" s="1" t="s">
        <v>80</v>
      </c>
      <c r="M55" s="44">
        <f>M72*Q48*((K39-32)*5/9+273)*(M54+0.1)/(1.15*1000000)</f>
        <v>44.839189934524875</v>
      </c>
      <c r="N55" s="1" t="s">
        <v>81</v>
      </c>
      <c r="O55" s="1" t="s">
        <v>100</v>
      </c>
      <c r="Q55" s="44">
        <f>0.4*Q48/Q54</f>
        <v>75.131339871265013</v>
      </c>
      <c r="R55" s="23" t="s">
        <v>7</v>
      </c>
    </row>
    <row r="56" spans="11:21" x14ac:dyDescent="0.25">
      <c r="K56" s="1" t="s">
        <v>59</v>
      </c>
      <c r="M56" s="45">
        <f>T39/60</f>
        <v>225394.01961379504</v>
      </c>
      <c r="N56" s="1" t="s">
        <v>92</v>
      </c>
      <c r="O56" s="1" t="s">
        <v>101</v>
      </c>
      <c r="Q56" s="44">
        <f>(4*Q55/PI())^0.5</f>
        <v>9.780602894148819</v>
      </c>
      <c r="R56" s="23" t="s">
        <v>27</v>
      </c>
    </row>
    <row r="57" spans="11:21" x14ac:dyDescent="0.25">
      <c r="K57" s="1" t="s">
        <v>80</v>
      </c>
      <c r="M57" s="44">
        <f>M56*(M54+0.1)/(6342*G21/100)</f>
        <v>31.204153358723861</v>
      </c>
      <c r="O57" s="1" t="s">
        <v>102</v>
      </c>
      <c r="Q57" s="45">
        <f>M64/Q54</f>
        <v>112697.00980689752</v>
      </c>
      <c r="S57" s="1" t="s">
        <v>107</v>
      </c>
      <c r="T57" s="45">
        <f>U39/(M48*Q54*60)</f>
        <v>112697.00980689753</v>
      </c>
      <c r="U57" s="1" t="s">
        <v>92</v>
      </c>
    </row>
    <row r="58" spans="11:21" x14ac:dyDescent="0.25">
      <c r="O58" s="1" t="s">
        <v>103</v>
      </c>
      <c r="Q58" s="44">
        <f>(Q57/(4005*PI()*Q56^2/4))^2*M50</f>
        <v>0.1305071063997674</v>
      </c>
      <c r="S58" s="1" t="s">
        <v>108</v>
      </c>
      <c r="T58" s="44">
        <f>T57/(60*PI()*Q56^2/4)</f>
        <v>25.000000000000004</v>
      </c>
      <c r="U58" s="1" t="s">
        <v>8</v>
      </c>
    </row>
    <row r="59" spans="11:21" x14ac:dyDescent="0.25">
      <c r="K59" s="17" t="s">
        <v>94</v>
      </c>
      <c r="O59" s="1" t="s">
        <v>104</v>
      </c>
      <c r="Q59" s="51">
        <f>M62+Q58</f>
        <v>0.75092331317257921</v>
      </c>
      <c r="S59" s="1" t="s">
        <v>109</v>
      </c>
      <c r="T59" s="44">
        <f>0.5*M48*(T58^2)/32.174</f>
        <v>0.67773967635938281</v>
      </c>
      <c r="U59" s="1" t="s">
        <v>110</v>
      </c>
    </row>
    <row r="60" spans="11:21" x14ac:dyDescent="0.25">
      <c r="K60" s="1" t="s">
        <v>96</v>
      </c>
      <c r="M60" s="44">
        <f>U39/S39</f>
        <v>2512.0046991959161</v>
      </c>
      <c r="N60" s="1" t="s">
        <v>97</v>
      </c>
      <c r="O60" s="1" t="s">
        <v>105</v>
      </c>
      <c r="Q60" s="44">
        <f>(M64*Q59)/(6356*G21/100)</f>
        <v>35.505270395988312</v>
      </c>
      <c r="T60" s="44">
        <f>T59/5.20233</f>
        <v>0.130276179396421</v>
      </c>
      <c r="U60" s="1" t="s">
        <v>111</v>
      </c>
    </row>
    <row r="61" spans="11:21" x14ac:dyDescent="0.25">
      <c r="K61" s="1" t="s">
        <v>95</v>
      </c>
      <c r="M61" s="48">
        <f>6/100000000*(M60)^1.825</f>
        <v>9.6202989313000531E-2</v>
      </c>
    </row>
    <row r="62" spans="11:21" x14ac:dyDescent="0.25">
      <c r="K62" s="1" t="s">
        <v>9</v>
      </c>
      <c r="M62" s="44">
        <f>M61*G15/M50</f>
        <v>0.62041620677281184</v>
      </c>
    </row>
    <row r="64" spans="11:21" x14ac:dyDescent="0.25">
      <c r="K64" s="1" t="s">
        <v>92</v>
      </c>
      <c r="M64" s="45">
        <f>M56</f>
        <v>225394.01961379504</v>
      </c>
      <c r="N64" s="1" t="s">
        <v>92</v>
      </c>
    </row>
    <row r="66" spans="11:17" x14ac:dyDescent="0.25">
      <c r="K66" s="17" t="s">
        <v>113</v>
      </c>
    </row>
    <row r="67" spans="11:17" x14ac:dyDescent="0.25">
      <c r="K67" s="1" t="s">
        <v>14</v>
      </c>
      <c r="M67" s="44">
        <f>C9</f>
        <v>15</v>
      </c>
      <c r="N67" s="1" t="s">
        <v>15</v>
      </c>
    </row>
    <row r="68" spans="11:17" x14ac:dyDescent="0.25">
      <c r="K68" s="1" t="s">
        <v>114</v>
      </c>
      <c r="M68" s="44">
        <f>C10</f>
        <v>4</v>
      </c>
      <c r="N68" s="1" t="s">
        <v>115</v>
      </c>
    </row>
    <row r="69" spans="11:17" x14ac:dyDescent="0.25">
      <c r="K69" s="1" t="s">
        <v>35</v>
      </c>
      <c r="M69" s="44">
        <f>C12</f>
        <v>250</v>
      </c>
      <c r="N69" s="1" t="s">
        <v>19</v>
      </c>
      <c r="O69" s="1" t="s">
        <v>26</v>
      </c>
      <c r="Q69" s="44">
        <f>G13</f>
        <v>30</v>
      </c>
    </row>
    <row r="70" spans="11:17" x14ac:dyDescent="0.25">
      <c r="K70" s="1" t="s">
        <v>36</v>
      </c>
      <c r="M70" s="44">
        <f>C13</f>
        <v>150</v>
      </c>
      <c r="N70" s="1" t="s">
        <v>19</v>
      </c>
    </row>
    <row r="71" spans="11:17" x14ac:dyDescent="0.25">
      <c r="K71" s="1" t="s">
        <v>116</v>
      </c>
      <c r="M71" s="44">
        <f>C15</f>
        <v>100</v>
      </c>
      <c r="N71" s="1" t="s">
        <v>19</v>
      </c>
    </row>
    <row r="72" spans="11:17" x14ac:dyDescent="0.25">
      <c r="K72" s="1" t="s">
        <v>117</v>
      </c>
      <c r="M72" s="44">
        <f>C16</f>
        <v>600</v>
      </c>
      <c r="N72" s="1" t="s">
        <v>44</v>
      </c>
    </row>
    <row r="73" spans="11:17" x14ac:dyDescent="0.25">
      <c r="K73" s="1" t="s">
        <v>49</v>
      </c>
      <c r="M73" s="44">
        <f>C17</f>
        <v>500</v>
      </c>
      <c r="N73" s="1" t="s">
        <v>27</v>
      </c>
    </row>
  </sheetData>
  <sheetProtection selectLockedCells="1"/>
  <mergeCells count="5">
    <mergeCell ref="B2:H2"/>
    <mergeCell ref="G3:H3"/>
    <mergeCell ref="G4:H4"/>
    <mergeCell ref="G5:H5"/>
    <mergeCell ref="G6:H6"/>
  </mergeCells>
  <dataValidations count="2">
    <dataValidation type="list" allowBlank="1" showInputMessage="1" showErrorMessage="1" sqref="G15">
      <formula1>$M$3:$M$6</formula1>
    </dataValidation>
    <dataValidation type="list" allowBlank="1" showInputMessage="1" showErrorMessage="1" sqref="G14">
      <formula1>$L$3:$L$4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4294967293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3"/>
  <sheetViews>
    <sheetView showGridLines="0" tabSelected="1" zoomScaleNormal="100" workbookViewId="0"/>
  </sheetViews>
  <sheetFormatPr defaultRowHeight="15" x14ac:dyDescent="0.25"/>
  <cols>
    <col min="1" max="1" width="4.140625" style="20" customWidth="1"/>
    <col min="2" max="2" width="19.28515625" style="1" customWidth="1"/>
    <col min="3" max="3" width="10.28515625" style="1" customWidth="1"/>
    <col min="4" max="4" width="11.5703125" style="1" customWidth="1"/>
    <col min="5" max="5" width="3.140625" style="1" customWidth="1"/>
    <col min="6" max="6" width="20.5703125" style="1" customWidth="1"/>
    <col min="7" max="7" width="10.28515625" style="1" customWidth="1"/>
    <col min="8" max="8" width="9.140625" style="1"/>
    <col min="9" max="9" width="9.140625" style="8"/>
    <col min="10" max="10" width="10.85546875" style="20" customWidth="1"/>
    <col min="11" max="12" width="9.140625" style="1"/>
    <col min="13" max="13" width="10.5703125" style="1" bestFit="1" customWidth="1"/>
    <col min="14" max="16" width="9.140625" style="1"/>
    <col min="17" max="17" width="10.5703125" style="1" bestFit="1" customWidth="1"/>
    <col min="18" max="18" width="9.5703125" style="23" bestFit="1" customWidth="1"/>
    <col min="19" max="19" width="9.140625" style="1"/>
    <col min="20" max="20" width="12.5703125" style="1" bestFit="1" customWidth="1"/>
    <col min="21" max="21" width="10.5703125" style="1" bestFit="1" customWidth="1"/>
    <col min="22" max="16384" width="9.140625" style="1"/>
  </cols>
  <sheetData>
    <row r="2" spans="1:27" s="3" customFormat="1" ht="19.5" customHeight="1" x14ac:dyDescent="0.25">
      <c r="A2" s="18"/>
      <c r="B2" s="53" t="s">
        <v>12</v>
      </c>
      <c r="C2" s="53"/>
      <c r="D2" s="53"/>
      <c r="E2" s="53"/>
      <c r="F2" s="53"/>
      <c r="G2" s="53"/>
      <c r="H2" s="53"/>
      <c r="I2" s="2"/>
      <c r="J2" s="27"/>
      <c r="M2" s="3" t="s">
        <v>41</v>
      </c>
      <c r="N2" s="30" t="s">
        <v>42</v>
      </c>
      <c r="R2" s="32"/>
    </row>
    <row r="3" spans="1:27" s="4" customFormat="1" x14ac:dyDescent="0.25">
      <c r="A3" s="19"/>
      <c r="B3" s="59" t="s">
        <v>130</v>
      </c>
      <c r="F3" s="5" t="s">
        <v>4</v>
      </c>
      <c r="G3" s="54" t="s">
        <v>129</v>
      </c>
      <c r="H3" s="55"/>
      <c r="I3" s="6"/>
      <c r="J3" s="28"/>
      <c r="L3" s="40" t="s">
        <v>29</v>
      </c>
      <c r="M3" s="41">
        <v>3</v>
      </c>
      <c r="N3" s="40">
        <v>80.400000000000006</v>
      </c>
      <c r="P3" s="4" t="s">
        <v>48</v>
      </c>
      <c r="R3" s="41">
        <f>VLOOKUP(G15,M3:N6,2)</f>
        <v>160.80000000000001</v>
      </c>
      <c r="U3" s="40">
        <f>5/8</f>
        <v>0.625</v>
      </c>
    </row>
    <row r="4" spans="1:27" s="4" customFormat="1" x14ac:dyDescent="0.25">
      <c r="A4" s="19"/>
      <c r="B4" s="12" t="s">
        <v>131</v>
      </c>
      <c r="F4" s="5" t="s">
        <v>11</v>
      </c>
      <c r="G4" s="54" t="s">
        <v>13</v>
      </c>
      <c r="H4" s="55"/>
      <c r="I4" s="6"/>
      <c r="J4" s="28"/>
      <c r="L4" s="40" t="s">
        <v>30</v>
      </c>
      <c r="M4" s="41">
        <v>4</v>
      </c>
      <c r="N4" s="40">
        <v>107.2</v>
      </c>
      <c r="P4" s="4" t="s">
        <v>69</v>
      </c>
      <c r="R4" s="42">
        <v>5.58</v>
      </c>
    </row>
    <row r="5" spans="1:27" s="4" customFormat="1" x14ac:dyDescent="0.25">
      <c r="A5" s="19"/>
      <c r="F5" s="5" t="s">
        <v>5</v>
      </c>
      <c r="G5" s="60" t="s">
        <v>133</v>
      </c>
      <c r="H5" s="56"/>
      <c r="I5" s="6"/>
      <c r="J5" s="28"/>
      <c r="M5" s="41">
        <v>5</v>
      </c>
      <c r="N5" s="40">
        <v>134</v>
      </c>
      <c r="P5" s="4" t="s">
        <v>78</v>
      </c>
      <c r="R5" s="43">
        <f>0.0037</f>
        <v>3.7000000000000002E-3</v>
      </c>
    </row>
    <row r="6" spans="1:27" s="4" customFormat="1" x14ac:dyDescent="0.25">
      <c r="A6" s="19"/>
      <c r="B6" s="7" t="s">
        <v>0</v>
      </c>
      <c r="C6" s="13"/>
      <c r="D6" s="3"/>
      <c r="E6" s="3"/>
      <c r="F6" s="5" t="s">
        <v>6</v>
      </c>
      <c r="G6" s="57" t="s">
        <v>132</v>
      </c>
      <c r="H6" s="58"/>
      <c r="I6" s="6"/>
      <c r="J6" s="28"/>
      <c r="M6" s="41">
        <v>6</v>
      </c>
      <c r="N6" s="40">
        <v>160.80000000000001</v>
      </c>
      <c r="R6" s="19"/>
    </row>
    <row r="7" spans="1:27" s="4" customFormat="1" x14ac:dyDescent="0.25">
      <c r="A7" s="19"/>
      <c r="B7" s="7"/>
      <c r="C7" s="25"/>
      <c r="D7" s="3"/>
      <c r="E7" s="3"/>
      <c r="F7" s="5"/>
      <c r="G7" s="26"/>
      <c r="H7" s="26"/>
      <c r="I7" s="6"/>
      <c r="J7" s="28"/>
      <c r="R7" s="19"/>
    </row>
    <row r="8" spans="1:27" x14ac:dyDescent="0.25">
      <c r="B8" s="9" t="s">
        <v>16</v>
      </c>
      <c r="C8" s="9"/>
      <c r="D8" s="9"/>
      <c r="F8" s="9" t="s">
        <v>31</v>
      </c>
      <c r="G8" s="9"/>
      <c r="H8" s="9"/>
      <c r="J8" s="29" t="s">
        <v>40</v>
      </c>
      <c r="K8" s="17" t="s">
        <v>33</v>
      </c>
      <c r="R8" s="23" t="s">
        <v>46</v>
      </c>
      <c r="S8" s="1" t="s">
        <v>58</v>
      </c>
      <c r="T8" s="1" t="s">
        <v>59</v>
      </c>
      <c r="V8" s="1" t="s">
        <v>61</v>
      </c>
      <c r="W8" s="1" t="s">
        <v>62</v>
      </c>
      <c r="X8" s="1" t="s">
        <v>72</v>
      </c>
      <c r="Y8" s="1" t="s">
        <v>73</v>
      </c>
    </row>
    <row r="9" spans="1:27" x14ac:dyDescent="0.25">
      <c r="B9" s="1" t="s">
        <v>14</v>
      </c>
      <c r="C9" s="11">
        <v>3.7799364350769333</v>
      </c>
      <c r="D9" s="10" t="s">
        <v>119</v>
      </c>
      <c r="F9" s="1" t="s">
        <v>22</v>
      </c>
      <c r="G9" s="1">
        <v>1</v>
      </c>
      <c r="H9" s="10" t="s">
        <v>1</v>
      </c>
      <c r="K9" s="1" t="s">
        <v>34</v>
      </c>
      <c r="L9" s="1" t="s">
        <v>35</v>
      </c>
      <c r="M9" s="1" t="s">
        <v>36</v>
      </c>
      <c r="N9" s="1" t="s">
        <v>38</v>
      </c>
      <c r="O9" s="1" t="s">
        <v>37</v>
      </c>
      <c r="P9" s="1" t="s">
        <v>39</v>
      </c>
      <c r="Q9" s="1" t="s">
        <v>45</v>
      </c>
      <c r="R9" s="23" t="s">
        <v>47</v>
      </c>
      <c r="S9" s="1" t="s">
        <v>47</v>
      </c>
      <c r="T9" s="1" t="s">
        <v>60</v>
      </c>
      <c r="U9" s="1" t="s">
        <v>2</v>
      </c>
      <c r="V9" s="1" t="s">
        <v>19</v>
      </c>
      <c r="W9" s="1" t="s">
        <v>19</v>
      </c>
      <c r="X9" s="1" t="s">
        <v>19</v>
      </c>
      <c r="Y9" s="1" t="s">
        <v>19</v>
      </c>
      <c r="Z9" s="1" t="s">
        <v>74</v>
      </c>
      <c r="AA9" s="1" t="s">
        <v>75</v>
      </c>
    </row>
    <row r="10" spans="1:27" ht="17.25" x14ac:dyDescent="0.25">
      <c r="B10" s="3" t="s">
        <v>21</v>
      </c>
      <c r="C10" s="11">
        <v>19.529710399999999</v>
      </c>
      <c r="D10" s="10" t="s">
        <v>120</v>
      </c>
      <c r="F10" s="1" t="s">
        <v>23</v>
      </c>
      <c r="G10" s="1">
        <v>0.625</v>
      </c>
      <c r="H10" s="10" t="s">
        <v>1</v>
      </c>
      <c r="J10" s="20">
        <v>1</v>
      </c>
      <c r="K10" s="44">
        <f>(X10+Y10)/2</f>
        <v>175</v>
      </c>
      <c r="L10" s="44">
        <f>$M$69</f>
        <v>250</v>
      </c>
      <c r="M10" s="44">
        <f>$M$70</f>
        <v>150</v>
      </c>
      <c r="N10" s="44">
        <f>$M$71</f>
        <v>100</v>
      </c>
      <c r="O10" s="44">
        <f>((L10-K10)-(M10-N10))/LN((L10-K10)/(M10-N10))</f>
        <v>61.657586559410795</v>
      </c>
      <c r="P10" s="44">
        <f>$C$22</f>
        <v>0.94699999999999995</v>
      </c>
      <c r="Q10" s="44">
        <f>O10*P10</f>
        <v>58.389734471762019</v>
      </c>
      <c r="R10" s="45">
        <f>$M$67*1000000/($M$68*Q10)</f>
        <v>64223.617968558247</v>
      </c>
      <c r="S10" s="44">
        <f>R10/$R$3</f>
        <v>399.40060925720297</v>
      </c>
      <c r="T10" s="46">
        <f>S10*$M$72*60</f>
        <v>14378421.933259308</v>
      </c>
      <c r="U10" s="47">
        <f>T10*$M$48</f>
        <v>1003296.207315806</v>
      </c>
      <c r="V10" s="44">
        <f>$M$67*1000000/(U10*$M$49)</f>
        <v>62.036179790744036</v>
      </c>
      <c r="W10" s="44">
        <f>N10+V10</f>
        <v>162.03617979074403</v>
      </c>
      <c r="X10" s="44">
        <f>M71+0.0000000001</f>
        <v>100.0000000001</v>
      </c>
      <c r="Y10" s="44">
        <f>M69-0.0000000001</f>
        <v>249.99999999990001</v>
      </c>
      <c r="Z10" s="44">
        <f>(L10-M10)/(K10-N10)</f>
        <v>1.3333333333333333</v>
      </c>
      <c r="AA10" s="44">
        <f>(K10-N10)/(L10-N10)</f>
        <v>0.5</v>
      </c>
    </row>
    <row r="11" spans="1:27" x14ac:dyDescent="0.25">
      <c r="B11" s="21" t="s">
        <v>16</v>
      </c>
      <c r="D11" s="10"/>
      <c r="F11" s="1" t="s">
        <v>24</v>
      </c>
      <c r="G11" s="23">
        <v>30</v>
      </c>
      <c r="H11" s="10" t="s">
        <v>112</v>
      </c>
      <c r="J11" s="20">
        <v>2</v>
      </c>
      <c r="K11" s="44">
        <f>(X11+Y11)/2</f>
        <v>137.50000000004999</v>
      </c>
      <c r="L11" s="44">
        <f t="shared" ref="L11:L39" si="0">$M$69</f>
        <v>250</v>
      </c>
      <c r="M11" s="44">
        <f t="shared" ref="M11:M39" si="1">$M$70</f>
        <v>150</v>
      </c>
      <c r="N11" s="44">
        <f t="shared" ref="N11:N39" si="2">$M$71</f>
        <v>100</v>
      </c>
      <c r="O11" s="44">
        <f>((L11-K11)-(M11-N11))/LN((L11-K11)/(M11-N11))</f>
        <v>77.071983199244087</v>
      </c>
      <c r="P11" s="44">
        <f t="shared" ref="P11:P39" si="3">$C$22</f>
        <v>0.94699999999999995</v>
      </c>
      <c r="Q11" s="44">
        <f>O11*P11</f>
        <v>72.987168089684147</v>
      </c>
      <c r="R11" s="45">
        <f t="shared" ref="R11:R39" si="4">$M$67*1000000/($M$68*Q11)</f>
        <v>51378.894374859534</v>
      </c>
      <c r="S11" s="44">
        <f>R11/$R$3</f>
        <v>319.52048740584286</v>
      </c>
      <c r="T11" s="46">
        <f t="shared" ref="T11:T39" si="5">S11*$M$72*60</f>
        <v>11502737.546610344</v>
      </c>
      <c r="U11" s="47">
        <f t="shared" ref="U11:U38" si="6">T11*$M$48</f>
        <v>802636.96585284686</v>
      </c>
      <c r="V11" s="44">
        <f t="shared" ref="V11:V39" si="7">$M$67*1000000/(U11*$M$49)</f>
        <v>77.545224738410525</v>
      </c>
      <c r="W11" s="44">
        <f>N11+V11</f>
        <v>177.54522473841052</v>
      </c>
      <c r="X11" s="44">
        <f>IF(W10&gt;K10,K10,X10)</f>
        <v>100.0000000001</v>
      </c>
      <c r="Y11" s="44">
        <f>IF(W10&gt;K10,Y10,K10)</f>
        <v>175</v>
      </c>
      <c r="Z11" s="44">
        <f t="shared" ref="Z11:Z39" si="8">(L11-M11)/(K11-N11)</f>
        <v>2.6666666666631116</v>
      </c>
      <c r="AA11" s="44">
        <f t="shared" ref="AA11:AA39" si="9">(K11-N11)/(L11-N11)</f>
        <v>0.25000000000033329</v>
      </c>
    </row>
    <row r="12" spans="1:27" x14ac:dyDescent="0.25">
      <c r="B12" s="1" t="s">
        <v>17</v>
      </c>
      <c r="C12" s="11">
        <v>121.11111111111111</v>
      </c>
      <c r="D12" s="10" t="s">
        <v>122</v>
      </c>
      <c r="F12" s="1" t="s">
        <v>25</v>
      </c>
      <c r="G12" s="1">
        <v>2.5</v>
      </c>
      <c r="H12" s="10" t="s">
        <v>1</v>
      </c>
      <c r="J12" s="20">
        <v>3</v>
      </c>
      <c r="K12" s="44">
        <f t="shared" ref="K12:K39" si="10">(X12+Y12)/2</f>
        <v>156.25000000002501</v>
      </c>
      <c r="L12" s="44">
        <f t="shared" si="0"/>
        <v>250</v>
      </c>
      <c r="M12" s="44">
        <f t="shared" si="1"/>
        <v>150</v>
      </c>
      <c r="N12" s="44">
        <f t="shared" si="2"/>
        <v>100</v>
      </c>
      <c r="O12" s="44">
        <f t="shared" ref="O12:O39" si="11">((L12-K12)-(M12-N12))/LN((L12-K12)/(M12-N12))</f>
        <v>69.598150366231437</v>
      </c>
      <c r="P12" s="44">
        <f t="shared" si="3"/>
        <v>0.94699999999999995</v>
      </c>
      <c r="Q12" s="44">
        <f t="shared" ref="Q12:Q39" si="12">O12*P12</f>
        <v>65.909448396821162</v>
      </c>
      <c r="R12" s="45">
        <f t="shared" si="4"/>
        <v>56896.243121659383</v>
      </c>
      <c r="S12" s="44">
        <f t="shared" ref="S12:S39" si="13">R12/$R$3</f>
        <v>353.83235772176232</v>
      </c>
      <c r="T12" s="46">
        <f t="shared" si="5"/>
        <v>12737964.877983443</v>
      </c>
      <c r="U12" s="47">
        <f t="shared" si="6"/>
        <v>888828.54532463732</v>
      </c>
      <c r="V12" s="44">
        <f t="shared" si="7"/>
        <v>70.025500674803425</v>
      </c>
      <c r="W12" s="44">
        <f t="shared" ref="W12:W39" si="14">N12+V12</f>
        <v>170.02550067480342</v>
      </c>
      <c r="X12" s="44">
        <f t="shared" ref="X12:X39" si="15">IF(W11&gt;K11,K11,X11)</f>
        <v>137.50000000004999</v>
      </c>
      <c r="Y12" s="44">
        <f t="shared" ref="Y12:Y39" si="16">IF(W11&gt;K11,Y11,K11)</f>
        <v>175</v>
      </c>
      <c r="Z12" s="44">
        <f t="shared" si="8"/>
        <v>1.7777777777769872</v>
      </c>
      <c r="AA12" s="44">
        <f t="shared" si="9"/>
        <v>0.37500000000016676</v>
      </c>
    </row>
    <row r="13" spans="1:27" x14ac:dyDescent="0.25">
      <c r="B13" s="1" t="s">
        <v>18</v>
      </c>
      <c r="C13" s="11">
        <v>65.555555555555557</v>
      </c>
      <c r="D13" s="10" t="s">
        <v>122</v>
      </c>
      <c r="F13" s="1" t="s">
        <v>26</v>
      </c>
      <c r="G13" s="11">
        <f>English!G13*0.3048</f>
        <v>9.1440000000000001</v>
      </c>
      <c r="H13" s="10" t="s">
        <v>127</v>
      </c>
      <c r="J13" s="20">
        <v>4</v>
      </c>
      <c r="K13" s="44">
        <f t="shared" si="10"/>
        <v>165.62500000001251</v>
      </c>
      <c r="L13" s="44">
        <f t="shared" si="0"/>
        <v>250</v>
      </c>
      <c r="M13" s="44">
        <f t="shared" si="1"/>
        <v>150</v>
      </c>
      <c r="N13" s="44">
        <f t="shared" si="2"/>
        <v>100</v>
      </c>
      <c r="O13" s="44">
        <f t="shared" si="11"/>
        <v>65.695407446042182</v>
      </c>
      <c r="P13" s="44">
        <f t="shared" si="3"/>
        <v>0.94699999999999995</v>
      </c>
      <c r="Q13" s="44">
        <f t="shared" si="12"/>
        <v>62.213550851401941</v>
      </c>
      <c r="R13" s="45">
        <f t="shared" si="4"/>
        <v>60276.257321446494</v>
      </c>
      <c r="S13" s="44">
        <f t="shared" si="13"/>
        <v>374.8523465264085</v>
      </c>
      <c r="T13" s="46">
        <f t="shared" si="5"/>
        <v>13494684.474950707</v>
      </c>
      <c r="U13" s="47">
        <f t="shared" si="6"/>
        <v>941630.85597895412</v>
      </c>
      <c r="V13" s="44">
        <f t="shared" si="7"/>
        <v>66.098793922494451</v>
      </c>
      <c r="W13" s="44">
        <f t="shared" si="14"/>
        <v>166.09879392249445</v>
      </c>
      <c r="X13" s="44">
        <f t="shared" si="15"/>
        <v>156.25000000002501</v>
      </c>
      <c r="Y13" s="44">
        <f t="shared" si="16"/>
        <v>175</v>
      </c>
      <c r="Z13" s="44">
        <f t="shared" si="8"/>
        <v>1.5238095238092335</v>
      </c>
      <c r="AA13" s="44">
        <f t="shared" si="9"/>
        <v>0.43750000000008338</v>
      </c>
    </row>
    <row r="14" spans="1:27" x14ac:dyDescent="0.25">
      <c r="B14" s="21" t="s">
        <v>20</v>
      </c>
      <c r="D14" s="10"/>
      <c r="F14" s="1" t="s">
        <v>28</v>
      </c>
      <c r="G14" s="24" t="s">
        <v>30</v>
      </c>
      <c r="H14" s="10"/>
      <c r="J14" s="20">
        <v>5</v>
      </c>
      <c r="K14" s="44">
        <f t="shared" si="10"/>
        <v>170.31250000000625</v>
      </c>
      <c r="L14" s="44">
        <f t="shared" si="0"/>
        <v>250</v>
      </c>
      <c r="M14" s="44">
        <f t="shared" si="1"/>
        <v>150</v>
      </c>
      <c r="N14" s="44">
        <f t="shared" si="2"/>
        <v>100</v>
      </c>
      <c r="O14" s="44">
        <f t="shared" si="11"/>
        <v>63.694816886013299</v>
      </c>
      <c r="P14" s="44">
        <f t="shared" si="3"/>
        <v>0.94699999999999995</v>
      </c>
      <c r="Q14" s="44">
        <f>O14*P14</f>
        <v>60.318991591054591</v>
      </c>
      <c r="R14" s="45">
        <f t="shared" si="4"/>
        <v>62169.474341081848</v>
      </c>
      <c r="S14" s="44">
        <f t="shared" si="13"/>
        <v>386.62608421070797</v>
      </c>
      <c r="T14" s="46">
        <f t="shared" si="5"/>
        <v>13918539.031585487</v>
      </c>
      <c r="U14" s="47">
        <f t="shared" si="6"/>
        <v>971206.54036901437</v>
      </c>
      <c r="V14" s="44">
        <f t="shared" si="7"/>
        <v>64.085919228639369</v>
      </c>
      <c r="W14" s="44">
        <f t="shared" si="14"/>
        <v>164.08591922863937</v>
      </c>
      <c r="X14" s="44">
        <f t="shared" si="15"/>
        <v>165.62500000001251</v>
      </c>
      <c r="Y14" s="44">
        <f t="shared" si="16"/>
        <v>175</v>
      </c>
      <c r="Z14" s="44">
        <f t="shared" si="8"/>
        <v>1.4222222222220957</v>
      </c>
      <c r="AA14" s="44">
        <f t="shared" si="9"/>
        <v>0.46875000000004169</v>
      </c>
    </row>
    <row r="15" spans="1:27" x14ac:dyDescent="0.25">
      <c r="B15" s="1" t="s">
        <v>17</v>
      </c>
      <c r="C15" s="11">
        <v>37.777777777777779</v>
      </c>
      <c r="D15" s="10" t="s">
        <v>122</v>
      </c>
      <c r="F15" s="1" t="s">
        <v>32</v>
      </c>
      <c r="G15" s="35">
        <v>6</v>
      </c>
      <c r="H15" s="10"/>
      <c r="J15" s="20">
        <v>6</v>
      </c>
      <c r="K15" s="44">
        <f t="shared" si="10"/>
        <v>167.96875000000938</v>
      </c>
      <c r="L15" s="44">
        <f t="shared" si="0"/>
        <v>250</v>
      </c>
      <c r="M15" s="44">
        <f t="shared" si="1"/>
        <v>150</v>
      </c>
      <c r="N15" s="44">
        <f t="shared" si="2"/>
        <v>100</v>
      </c>
      <c r="O15" s="44">
        <f t="shared" si="11"/>
        <v>64.699496721340921</v>
      </c>
      <c r="P15" s="44">
        <f t="shared" si="3"/>
        <v>0.94699999999999995</v>
      </c>
      <c r="Q15" s="44">
        <f t="shared" si="12"/>
        <v>61.270423395109852</v>
      </c>
      <c r="R15" s="45">
        <f t="shared" si="4"/>
        <v>61204.081711948755</v>
      </c>
      <c r="S15" s="44">
        <f t="shared" si="13"/>
        <v>380.62239870614894</v>
      </c>
      <c r="T15" s="46">
        <f t="shared" si="5"/>
        <v>13702406.353421362</v>
      </c>
      <c r="U15" s="47">
        <f t="shared" si="6"/>
        <v>956125.25416906772</v>
      </c>
      <c r="V15" s="44">
        <f t="shared" si="7"/>
        <v>65.096768053162606</v>
      </c>
      <c r="W15" s="44">
        <f t="shared" si="14"/>
        <v>165.09676805316261</v>
      </c>
      <c r="X15" s="44">
        <f t="shared" si="15"/>
        <v>165.62500000001251</v>
      </c>
      <c r="Y15" s="44">
        <f t="shared" si="16"/>
        <v>170.31250000000625</v>
      </c>
      <c r="Z15" s="44">
        <f t="shared" si="8"/>
        <v>1.471264367815889</v>
      </c>
      <c r="AA15" s="44">
        <f t="shared" si="9"/>
        <v>0.45312500000006251</v>
      </c>
    </row>
    <row r="16" spans="1:27" x14ac:dyDescent="0.25">
      <c r="B16" s="1" t="s">
        <v>43</v>
      </c>
      <c r="C16" s="11">
        <v>3.048</v>
      </c>
      <c r="D16" s="10" t="s">
        <v>128</v>
      </c>
      <c r="J16" s="20">
        <v>7</v>
      </c>
      <c r="K16" s="44">
        <f t="shared" si="10"/>
        <v>166.79687500001094</v>
      </c>
      <c r="L16" s="44">
        <f t="shared" si="0"/>
        <v>250</v>
      </c>
      <c r="M16" s="44">
        <f t="shared" si="1"/>
        <v>150</v>
      </c>
      <c r="N16" s="44">
        <f t="shared" si="2"/>
        <v>100</v>
      </c>
      <c r="O16" s="44">
        <f t="shared" si="11"/>
        <v>65.198525323227202</v>
      </c>
      <c r="P16" s="44">
        <f t="shared" si="3"/>
        <v>0.94699999999999995</v>
      </c>
      <c r="Q16" s="44">
        <f t="shared" si="12"/>
        <v>61.74300348109616</v>
      </c>
      <c r="R16" s="45">
        <f t="shared" si="4"/>
        <v>60735.626525653817</v>
      </c>
      <c r="S16" s="44">
        <f t="shared" si="13"/>
        <v>377.70912018441425</v>
      </c>
      <c r="T16" s="46">
        <f t="shared" si="5"/>
        <v>13597528.326638913</v>
      </c>
      <c r="U16" s="47">
        <f t="shared" si="6"/>
        <v>948807.08483240369</v>
      </c>
      <c r="V16" s="44">
        <f t="shared" si="7"/>
        <v>65.598860817327335</v>
      </c>
      <c r="W16" s="44">
        <f t="shared" si="14"/>
        <v>165.59886081732733</v>
      </c>
      <c r="X16" s="44">
        <f t="shared" si="15"/>
        <v>165.62500000001251</v>
      </c>
      <c r="Y16" s="44">
        <f t="shared" si="16"/>
        <v>167.96875000000938</v>
      </c>
      <c r="Z16" s="44">
        <f t="shared" si="8"/>
        <v>1.4970760233915676</v>
      </c>
      <c r="AA16" s="44">
        <f t="shared" si="9"/>
        <v>0.44531250000007294</v>
      </c>
    </row>
    <row r="17" spans="2:27" x14ac:dyDescent="0.25">
      <c r="B17" s="1" t="s">
        <v>49</v>
      </c>
      <c r="C17" s="31">
        <v>152.4</v>
      </c>
      <c r="D17" s="10" t="s">
        <v>127</v>
      </c>
      <c r="H17" s="10"/>
      <c r="J17" s="20">
        <v>8</v>
      </c>
      <c r="K17" s="44">
        <f t="shared" si="10"/>
        <v>166.21093750001171</v>
      </c>
      <c r="L17" s="44">
        <f t="shared" si="0"/>
        <v>250</v>
      </c>
      <c r="M17" s="44">
        <f t="shared" si="1"/>
        <v>150</v>
      </c>
      <c r="N17" s="44">
        <f t="shared" si="2"/>
        <v>100</v>
      </c>
      <c r="O17" s="44">
        <f t="shared" si="11"/>
        <v>65.447231920452708</v>
      </c>
      <c r="P17" s="44">
        <f t="shared" si="3"/>
        <v>0.94699999999999995</v>
      </c>
      <c r="Q17" s="44">
        <f t="shared" si="12"/>
        <v>61.978528628668712</v>
      </c>
      <c r="R17" s="45">
        <f t="shared" si="4"/>
        <v>60504.824541210626</v>
      </c>
      <c r="S17" s="44">
        <f t="shared" si="13"/>
        <v>376.27378446026506</v>
      </c>
      <c r="T17" s="46">
        <f t="shared" si="5"/>
        <v>13545856.240569543</v>
      </c>
      <c r="U17" s="47">
        <f t="shared" si="6"/>
        <v>945201.51474841719</v>
      </c>
      <c r="V17" s="44">
        <f t="shared" si="7"/>
        <v>65.849094536186215</v>
      </c>
      <c r="W17" s="44">
        <f t="shared" si="14"/>
        <v>165.84909453618621</v>
      </c>
      <c r="X17" s="44">
        <f t="shared" si="15"/>
        <v>165.62500000001251</v>
      </c>
      <c r="Y17" s="44">
        <f t="shared" si="16"/>
        <v>166.79687500001094</v>
      </c>
      <c r="Z17" s="44">
        <f t="shared" si="8"/>
        <v>1.5103244837755441</v>
      </c>
      <c r="AA17" s="44">
        <f t="shared" si="9"/>
        <v>0.44140625000007805</v>
      </c>
    </row>
    <row r="18" spans="2:27" x14ac:dyDescent="0.25">
      <c r="B18" s="1" t="s">
        <v>18</v>
      </c>
      <c r="C18" s="22">
        <f>(X39-32)*5/9</f>
        <v>74.420702039374319</v>
      </c>
      <c r="D18" s="10" t="s">
        <v>122</v>
      </c>
      <c r="F18" s="34"/>
      <c r="J18" s="20">
        <v>9</v>
      </c>
      <c r="K18" s="44">
        <f t="shared" si="10"/>
        <v>165.91796875001211</v>
      </c>
      <c r="L18" s="44">
        <f t="shared" si="0"/>
        <v>250</v>
      </c>
      <c r="M18" s="44">
        <f t="shared" si="1"/>
        <v>150</v>
      </c>
      <c r="N18" s="44">
        <f t="shared" si="2"/>
        <v>100</v>
      </c>
      <c r="O18" s="44">
        <f t="shared" si="11"/>
        <v>65.571385725760805</v>
      </c>
      <c r="P18" s="44">
        <f t="shared" si="3"/>
        <v>0.94699999999999995</v>
      </c>
      <c r="Q18" s="44">
        <f t="shared" si="12"/>
        <v>62.096102282295483</v>
      </c>
      <c r="R18" s="45">
        <f t="shared" si="4"/>
        <v>60390.263835757374</v>
      </c>
      <c r="S18" s="44">
        <f t="shared" si="13"/>
        <v>375.56134226217267</v>
      </c>
      <c r="T18" s="46">
        <f t="shared" si="5"/>
        <v>13520208.321438218</v>
      </c>
      <c r="U18" s="47">
        <f t="shared" si="6"/>
        <v>943411.85659890366</v>
      </c>
      <c r="V18" s="44">
        <f t="shared" si="7"/>
        <v>65.974010677371496</v>
      </c>
      <c r="W18" s="44">
        <f t="shared" si="14"/>
        <v>165.9740106773715</v>
      </c>
      <c r="X18" s="44">
        <f t="shared" si="15"/>
        <v>165.62500000001251</v>
      </c>
      <c r="Y18" s="44">
        <f t="shared" si="16"/>
        <v>166.21093750001171</v>
      </c>
      <c r="Z18" s="44">
        <f t="shared" si="8"/>
        <v>1.5170370370367583</v>
      </c>
      <c r="AA18" s="44">
        <f t="shared" si="9"/>
        <v>0.43945312500008071</v>
      </c>
    </row>
    <row r="19" spans="2:27" x14ac:dyDescent="0.25">
      <c r="C19" s="33"/>
      <c r="J19" s="20">
        <v>10</v>
      </c>
      <c r="K19" s="44">
        <f t="shared" si="10"/>
        <v>166.06445312501191</v>
      </c>
      <c r="L19" s="44">
        <f t="shared" si="0"/>
        <v>250</v>
      </c>
      <c r="M19" s="44">
        <f t="shared" si="1"/>
        <v>150</v>
      </c>
      <c r="N19" s="44">
        <f t="shared" si="2"/>
        <v>100</v>
      </c>
      <c r="O19" s="44">
        <f t="shared" si="11"/>
        <v>65.509325376181664</v>
      </c>
      <c r="P19" s="44">
        <f t="shared" si="3"/>
        <v>0.94699999999999995</v>
      </c>
      <c r="Q19" s="44">
        <f t="shared" si="12"/>
        <v>62.037331131244031</v>
      </c>
      <c r="R19" s="45">
        <f t="shared" si="4"/>
        <v>60447.474635339</v>
      </c>
      <c r="S19" s="44">
        <f t="shared" si="13"/>
        <v>375.91713081678478</v>
      </c>
      <c r="T19" s="46">
        <f t="shared" si="5"/>
        <v>13533016.709404252</v>
      </c>
      <c r="U19" s="47">
        <f t="shared" si="6"/>
        <v>944305.59912000934</v>
      </c>
      <c r="V19" s="44">
        <f t="shared" si="7"/>
        <v>65.911569261493838</v>
      </c>
      <c r="W19" s="44">
        <f t="shared" si="14"/>
        <v>165.91156926149384</v>
      </c>
      <c r="X19" s="44">
        <f t="shared" si="15"/>
        <v>165.91796875001211</v>
      </c>
      <c r="Y19" s="44">
        <f t="shared" si="16"/>
        <v>166.21093750001171</v>
      </c>
      <c r="Z19" s="44">
        <f t="shared" si="8"/>
        <v>1.5136733185510944</v>
      </c>
      <c r="AA19" s="44">
        <f t="shared" si="9"/>
        <v>0.44042968750007938</v>
      </c>
    </row>
    <row r="20" spans="2:27" x14ac:dyDescent="0.25">
      <c r="B20" s="9" t="s">
        <v>10</v>
      </c>
      <c r="C20" s="9"/>
      <c r="D20" s="9"/>
      <c r="F20" s="9" t="s">
        <v>82</v>
      </c>
      <c r="G20" s="9"/>
      <c r="H20" s="9"/>
      <c r="J20" s="20">
        <v>11</v>
      </c>
      <c r="K20" s="44">
        <f t="shared" si="10"/>
        <v>165.99121093751199</v>
      </c>
      <c r="L20" s="44">
        <f t="shared" si="0"/>
        <v>250</v>
      </c>
      <c r="M20" s="44">
        <f t="shared" si="1"/>
        <v>150</v>
      </c>
      <c r="N20" s="44">
        <f t="shared" si="2"/>
        <v>100</v>
      </c>
      <c r="O20" s="44">
        <f t="shared" si="11"/>
        <v>65.540359683919633</v>
      </c>
      <c r="P20" s="44">
        <f t="shared" si="3"/>
        <v>0.94699999999999995</v>
      </c>
      <c r="Q20" s="44">
        <f t="shared" si="12"/>
        <v>62.066720620671887</v>
      </c>
      <c r="R20" s="45">
        <f t="shared" si="4"/>
        <v>60418.851882292431</v>
      </c>
      <c r="S20" s="44">
        <f t="shared" si="13"/>
        <v>375.73912862122154</v>
      </c>
      <c r="T20" s="46">
        <f t="shared" si="5"/>
        <v>13526608.630363977</v>
      </c>
      <c r="U20" s="47">
        <f t="shared" si="6"/>
        <v>943858.45676828735</v>
      </c>
      <c r="V20" s="44">
        <f t="shared" si="7"/>
        <v>65.942794127758418</v>
      </c>
      <c r="W20" s="44">
        <f t="shared" si="14"/>
        <v>165.94279412775842</v>
      </c>
      <c r="X20" s="44">
        <f t="shared" si="15"/>
        <v>165.91796875001211</v>
      </c>
      <c r="Y20" s="44">
        <f t="shared" si="16"/>
        <v>166.06445312501191</v>
      </c>
      <c r="Z20" s="44">
        <f t="shared" si="8"/>
        <v>1.5153533111354998</v>
      </c>
      <c r="AA20" s="44">
        <f t="shared" si="9"/>
        <v>0.43994140625007994</v>
      </c>
    </row>
    <row r="21" spans="2:27" x14ac:dyDescent="0.25">
      <c r="B21" s="1" t="s">
        <v>37</v>
      </c>
      <c r="C21" s="14">
        <f>O39/1.8</f>
        <v>36.419300564338165</v>
      </c>
      <c r="D21" s="10" t="s">
        <v>122</v>
      </c>
      <c r="F21" s="1" t="s">
        <v>83</v>
      </c>
      <c r="G21" s="31">
        <v>75</v>
      </c>
      <c r="H21" s="1" t="s">
        <v>84</v>
      </c>
      <c r="J21" s="20">
        <v>12</v>
      </c>
      <c r="K21" s="44">
        <f t="shared" si="10"/>
        <v>165.95458984376205</v>
      </c>
      <c r="L21" s="44">
        <f t="shared" si="0"/>
        <v>250</v>
      </c>
      <c r="M21" s="44">
        <f t="shared" si="1"/>
        <v>150</v>
      </c>
      <c r="N21" s="44">
        <f t="shared" si="2"/>
        <v>100</v>
      </c>
      <c r="O21" s="44">
        <f t="shared" si="11"/>
        <v>65.555873737413549</v>
      </c>
      <c r="P21" s="44">
        <f t="shared" si="3"/>
        <v>0.94699999999999995</v>
      </c>
      <c r="Q21" s="44">
        <f t="shared" si="12"/>
        <v>62.081412429330626</v>
      </c>
      <c r="R21" s="45">
        <f t="shared" si="4"/>
        <v>60404.553525078896</v>
      </c>
      <c r="S21" s="44">
        <f t="shared" si="13"/>
        <v>375.65020848929657</v>
      </c>
      <c r="T21" s="46">
        <f t="shared" si="5"/>
        <v>13523407.505614677</v>
      </c>
      <c r="U21" s="47">
        <f t="shared" si="6"/>
        <v>943635.08897903864</v>
      </c>
      <c r="V21" s="44">
        <f t="shared" si="7"/>
        <v>65.958403441478552</v>
      </c>
      <c r="W21" s="44">
        <f t="shared" si="14"/>
        <v>165.95840344147854</v>
      </c>
      <c r="X21" s="44">
        <f t="shared" si="15"/>
        <v>165.91796875001211</v>
      </c>
      <c r="Y21" s="44">
        <f t="shared" si="16"/>
        <v>165.99121093751199</v>
      </c>
      <c r="Z21" s="44">
        <f t="shared" si="8"/>
        <v>1.5161947066441797</v>
      </c>
      <c r="AA21" s="44">
        <f t="shared" si="9"/>
        <v>0.43969726562508032</v>
      </c>
    </row>
    <row r="22" spans="2:27" x14ac:dyDescent="0.25">
      <c r="B22" s="1" t="s">
        <v>76</v>
      </c>
      <c r="C22" s="61">
        <v>0.94699999999999995</v>
      </c>
      <c r="D22" s="10"/>
      <c r="F22" s="1" t="s">
        <v>85</v>
      </c>
      <c r="G22" s="31">
        <v>95</v>
      </c>
      <c r="H22" s="1" t="s">
        <v>84</v>
      </c>
      <c r="J22" s="20">
        <v>13</v>
      </c>
      <c r="K22" s="44">
        <f t="shared" si="10"/>
        <v>165.97290039063702</v>
      </c>
      <c r="L22" s="44">
        <f t="shared" si="0"/>
        <v>250</v>
      </c>
      <c r="M22" s="44">
        <f t="shared" si="1"/>
        <v>150</v>
      </c>
      <c r="N22" s="44">
        <f t="shared" si="2"/>
        <v>100</v>
      </c>
      <c r="O22" s="44">
        <f t="shared" si="11"/>
        <v>65.548116968892842</v>
      </c>
      <c r="P22" s="44">
        <f t="shared" si="3"/>
        <v>0.94699999999999995</v>
      </c>
      <c r="Q22" s="44">
        <f t="shared" si="12"/>
        <v>62.074066769541517</v>
      </c>
      <c r="R22" s="45">
        <f t="shared" si="4"/>
        <v>60411.70161965365</v>
      </c>
      <c r="S22" s="44">
        <f t="shared" si="13"/>
        <v>375.69466181376646</v>
      </c>
      <c r="T22" s="46">
        <f t="shared" si="5"/>
        <v>13525007.825295594</v>
      </c>
      <c r="U22" s="47">
        <f t="shared" si="6"/>
        <v>943746.75593900192</v>
      </c>
      <c r="V22" s="44">
        <f t="shared" si="7"/>
        <v>65.950599044430305</v>
      </c>
      <c r="W22" s="44">
        <f t="shared" si="14"/>
        <v>165.95059904443031</v>
      </c>
      <c r="X22" s="44">
        <f t="shared" si="15"/>
        <v>165.95458984376205</v>
      </c>
      <c r="Y22" s="44">
        <f t="shared" si="16"/>
        <v>165.99121093751199</v>
      </c>
      <c r="Z22" s="44">
        <f t="shared" si="8"/>
        <v>1.515773892126655</v>
      </c>
      <c r="AA22" s="44">
        <f t="shared" si="9"/>
        <v>0.43981933593758016</v>
      </c>
    </row>
    <row r="23" spans="2:27" x14ac:dyDescent="0.25">
      <c r="B23" s="1" t="s">
        <v>77</v>
      </c>
      <c r="C23" s="37">
        <f>Q39/1.8</f>
        <v>34.489077634428241</v>
      </c>
      <c r="D23" s="10" t="s">
        <v>122</v>
      </c>
      <c r="J23" s="20">
        <v>14</v>
      </c>
      <c r="K23" s="44">
        <f t="shared" si="10"/>
        <v>165.96374511719955</v>
      </c>
      <c r="L23" s="44">
        <f t="shared" si="0"/>
        <v>250</v>
      </c>
      <c r="M23" s="44">
        <f t="shared" si="1"/>
        <v>150</v>
      </c>
      <c r="N23" s="44">
        <f t="shared" si="2"/>
        <v>100</v>
      </c>
      <c r="O23" s="44">
        <f t="shared" si="11"/>
        <v>65.551995417699374</v>
      </c>
      <c r="P23" s="44">
        <f t="shared" si="3"/>
        <v>0.94699999999999995</v>
      </c>
      <c r="Q23" s="44">
        <f t="shared" si="12"/>
        <v>62.077739660561306</v>
      </c>
      <c r="R23" s="45">
        <f t="shared" si="4"/>
        <v>60408.127301426495</v>
      </c>
      <c r="S23" s="44">
        <f t="shared" si="13"/>
        <v>375.67243346658267</v>
      </c>
      <c r="T23" s="46">
        <f t="shared" si="5"/>
        <v>13524207.604796976</v>
      </c>
      <c r="U23" s="47">
        <f t="shared" si="6"/>
        <v>943690.91822642076</v>
      </c>
      <c r="V23" s="44">
        <f t="shared" si="7"/>
        <v>65.954501307896948</v>
      </c>
      <c r="W23" s="44">
        <f t="shared" si="14"/>
        <v>165.95450130789695</v>
      </c>
      <c r="X23" s="44">
        <f t="shared" si="15"/>
        <v>165.95458984376205</v>
      </c>
      <c r="Y23" s="44">
        <f t="shared" si="16"/>
        <v>165.97290039063702</v>
      </c>
      <c r="Z23" s="44">
        <f t="shared" si="8"/>
        <v>1.5159842701824666</v>
      </c>
      <c r="AA23" s="44">
        <f t="shared" si="9"/>
        <v>0.43975830078133032</v>
      </c>
    </row>
    <row r="24" spans="2:27" ht="17.25" x14ac:dyDescent="0.25">
      <c r="B24" s="1" t="s">
        <v>63</v>
      </c>
      <c r="C24" s="38">
        <f>R39*0.3048^2</f>
        <v>5611.863618144238</v>
      </c>
      <c r="D24" s="10" t="s">
        <v>126</v>
      </c>
      <c r="F24" s="1" t="s">
        <v>90</v>
      </c>
      <c r="G24" s="36">
        <f>M64*0.3048^3*60</f>
        <v>382946.87256948446</v>
      </c>
      <c r="H24" s="10" t="s">
        <v>123</v>
      </c>
      <c r="J24" s="20">
        <v>15</v>
      </c>
      <c r="K24" s="44">
        <f t="shared" si="10"/>
        <v>165.9591674804808</v>
      </c>
      <c r="L24" s="44">
        <f t="shared" si="0"/>
        <v>250</v>
      </c>
      <c r="M24" s="44">
        <f t="shared" si="1"/>
        <v>150</v>
      </c>
      <c r="N24" s="44">
        <f t="shared" si="2"/>
        <v>100</v>
      </c>
      <c r="O24" s="44">
        <f t="shared" si="11"/>
        <v>65.553934593691721</v>
      </c>
      <c r="P24" s="44">
        <f t="shared" si="3"/>
        <v>0.94699999999999995</v>
      </c>
      <c r="Q24" s="44">
        <f t="shared" si="12"/>
        <v>62.07957606022606</v>
      </c>
      <c r="R24" s="45">
        <f t="shared" si="4"/>
        <v>60406.340345526267</v>
      </c>
      <c r="S24" s="44">
        <f t="shared" si="13"/>
        <v>375.66132055675536</v>
      </c>
      <c r="T24" s="46">
        <f t="shared" si="5"/>
        <v>13523807.540043192</v>
      </c>
      <c r="U24" s="47">
        <f t="shared" si="6"/>
        <v>943663.00254471286</v>
      </c>
      <c r="V24" s="44">
        <f t="shared" si="7"/>
        <v>65.956452390922081</v>
      </c>
      <c r="W24" s="44">
        <f t="shared" si="14"/>
        <v>165.9564523909221</v>
      </c>
      <c r="X24" s="44">
        <f t="shared" si="15"/>
        <v>165.95458984376205</v>
      </c>
      <c r="Y24" s="44">
        <f t="shared" si="16"/>
        <v>165.96374511719955</v>
      </c>
      <c r="Z24" s="44">
        <f t="shared" si="8"/>
        <v>1.5160894811110655</v>
      </c>
      <c r="AA24" s="44">
        <f t="shared" si="9"/>
        <v>0.43972778320320532</v>
      </c>
    </row>
    <row r="25" spans="2:27" ht="18.75" x14ac:dyDescent="0.35">
      <c r="B25" s="1" t="s">
        <v>64</v>
      </c>
      <c r="C25" s="15">
        <f>Q48*0.3048^2</f>
        <v>34.899649366568646</v>
      </c>
      <c r="D25" s="10" t="s">
        <v>126</v>
      </c>
      <c r="F25" s="1" t="s">
        <v>86</v>
      </c>
      <c r="G25" s="37">
        <f>Q59*25.4</f>
        <v>19.07345215458351</v>
      </c>
      <c r="H25" s="10" t="s">
        <v>124</v>
      </c>
      <c r="J25" s="20">
        <v>16</v>
      </c>
      <c r="K25" s="44">
        <f t="shared" si="10"/>
        <v>165.95687866212143</v>
      </c>
      <c r="L25" s="44">
        <f t="shared" si="0"/>
        <v>250</v>
      </c>
      <c r="M25" s="44">
        <f t="shared" si="1"/>
        <v>150</v>
      </c>
      <c r="N25" s="44">
        <f t="shared" si="2"/>
        <v>100</v>
      </c>
      <c r="O25" s="44">
        <f t="shared" si="11"/>
        <v>65.55490416958628</v>
      </c>
      <c r="P25" s="44">
        <f t="shared" si="3"/>
        <v>0.94699999999999995</v>
      </c>
      <c r="Q25" s="44">
        <f t="shared" si="12"/>
        <v>62.080494248598207</v>
      </c>
      <c r="R25" s="45">
        <f t="shared" si="4"/>
        <v>60405.446918372043</v>
      </c>
      <c r="S25" s="44">
        <f t="shared" si="13"/>
        <v>375.65576441773658</v>
      </c>
      <c r="T25" s="46">
        <f t="shared" si="5"/>
        <v>13523607.519038517</v>
      </c>
      <c r="U25" s="47">
        <f t="shared" si="6"/>
        <v>943649.04549738835</v>
      </c>
      <c r="V25" s="44">
        <f t="shared" si="7"/>
        <v>65.957427920258723</v>
      </c>
      <c r="W25" s="44">
        <f t="shared" si="14"/>
        <v>165.95742792025874</v>
      </c>
      <c r="X25" s="44">
        <f t="shared" si="15"/>
        <v>165.95458984376205</v>
      </c>
      <c r="Y25" s="44">
        <f t="shared" si="16"/>
        <v>165.9591674804808</v>
      </c>
      <c r="Z25" s="44">
        <f t="shared" si="8"/>
        <v>1.5161420920518682</v>
      </c>
      <c r="AA25" s="44">
        <f t="shared" si="9"/>
        <v>0.43971252441414282</v>
      </c>
    </row>
    <row r="26" spans="2:27" x14ac:dyDescent="0.25">
      <c r="B26" s="1" t="s">
        <v>65</v>
      </c>
      <c r="C26" s="37">
        <f>Q47*0.3048</f>
        <v>3.8166720654602631</v>
      </c>
      <c r="D26" s="10" t="s">
        <v>127</v>
      </c>
      <c r="F26" s="1" t="s">
        <v>88</v>
      </c>
      <c r="G26" s="15">
        <f>Q60*0.73549875</f>
        <v>26.114081994661408</v>
      </c>
      <c r="H26" s="10" t="s">
        <v>118</v>
      </c>
      <c r="I26" s="39"/>
      <c r="J26" s="20">
        <v>17</v>
      </c>
      <c r="K26" s="44">
        <f t="shared" si="10"/>
        <v>165.95802307130111</v>
      </c>
      <c r="L26" s="44">
        <f t="shared" si="0"/>
        <v>250</v>
      </c>
      <c r="M26" s="44">
        <f t="shared" si="1"/>
        <v>150</v>
      </c>
      <c r="N26" s="44">
        <f t="shared" si="2"/>
        <v>100</v>
      </c>
      <c r="O26" s="44">
        <f t="shared" si="11"/>
        <v>65.554419382647424</v>
      </c>
      <c r="P26" s="44">
        <f t="shared" si="3"/>
        <v>0.94699999999999995</v>
      </c>
      <c r="Q26" s="44">
        <f t="shared" si="12"/>
        <v>62.080035155367106</v>
      </c>
      <c r="R26" s="45">
        <f t="shared" si="4"/>
        <v>60405.893627716403</v>
      </c>
      <c r="S26" s="44">
        <f t="shared" si="13"/>
        <v>375.65854246092289</v>
      </c>
      <c r="T26" s="46">
        <f t="shared" si="5"/>
        <v>13523707.528593225</v>
      </c>
      <c r="U26" s="47">
        <f t="shared" si="6"/>
        <v>943656.02395492699</v>
      </c>
      <c r="V26" s="44">
        <f t="shared" si="7"/>
        <v>65.956940156605</v>
      </c>
      <c r="W26" s="44">
        <f t="shared" si="14"/>
        <v>165.95694015660501</v>
      </c>
      <c r="X26" s="44">
        <f t="shared" si="15"/>
        <v>165.95687866212143</v>
      </c>
      <c r="Y26" s="44">
        <f t="shared" si="16"/>
        <v>165.9591674804808</v>
      </c>
      <c r="Z26" s="44">
        <f t="shared" si="8"/>
        <v>1.516115786125052</v>
      </c>
      <c r="AA26" s="44">
        <f t="shared" si="9"/>
        <v>0.43972015380867407</v>
      </c>
    </row>
    <row r="27" spans="2:27" x14ac:dyDescent="0.25">
      <c r="B27" s="1" t="s">
        <v>71</v>
      </c>
      <c r="C27" s="38">
        <f>Q50</f>
        <v>360.84586174729435</v>
      </c>
      <c r="F27" s="1" t="s">
        <v>91</v>
      </c>
      <c r="G27" s="15">
        <f>G26/(G22/100)</f>
        <v>27.488507362801485</v>
      </c>
      <c r="H27" s="10" t="s">
        <v>118</v>
      </c>
      <c r="I27" s="39"/>
      <c r="J27" s="20">
        <v>18</v>
      </c>
      <c r="K27" s="44">
        <f t="shared" si="10"/>
        <v>165.95745086671127</v>
      </c>
      <c r="L27" s="44">
        <f t="shared" si="0"/>
        <v>250</v>
      </c>
      <c r="M27" s="44">
        <f t="shared" si="1"/>
        <v>150</v>
      </c>
      <c r="N27" s="44">
        <f t="shared" si="2"/>
        <v>100</v>
      </c>
      <c r="O27" s="44">
        <f t="shared" si="11"/>
        <v>65.55466177636896</v>
      </c>
      <c r="P27" s="44">
        <f t="shared" si="3"/>
        <v>0.94699999999999995</v>
      </c>
      <c r="Q27" s="44">
        <f t="shared" si="12"/>
        <v>62.080264702221399</v>
      </c>
      <c r="R27" s="45">
        <f t="shared" si="4"/>
        <v>60405.670271986048</v>
      </c>
      <c r="S27" s="44">
        <f t="shared" si="13"/>
        <v>375.657153432749</v>
      </c>
      <c r="T27" s="46">
        <f t="shared" si="5"/>
        <v>13523657.523578964</v>
      </c>
      <c r="U27" s="47">
        <f t="shared" si="6"/>
        <v>943652.53470962681</v>
      </c>
      <c r="V27" s="44">
        <f t="shared" si="7"/>
        <v>65.957184038685526</v>
      </c>
      <c r="W27" s="44">
        <f t="shared" si="14"/>
        <v>165.95718403868551</v>
      </c>
      <c r="X27" s="44">
        <f t="shared" si="15"/>
        <v>165.95687866212143</v>
      </c>
      <c r="Y27" s="44">
        <f t="shared" si="16"/>
        <v>165.95802307130111</v>
      </c>
      <c r="Z27" s="44">
        <f t="shared" si="8"/>
        <v>1.5161289389743533</v>
      </c>
      <c r="AA27" s="44">
        <f t="shared" si="9"/>
        <v>0.43971633911140845</v>
      </c>
    </row>
    <row r="28" spans="2:27" x14ac:dyDescent="0.25">
      <c r="B28" s="1" t="s">
        <v>89</v>
      </c>
      <c r="C28" s="38">
        <f>C27/G15</f>
        <v>60.140976957882394</v>
      </c>
      <c r="J28" s="20">
        <v>19</v>
      </c>
      <c r="K28" s="44">
        <f t="shared" si="10"/>
        <v>165.95716476441635</v>
      </c>
      <c r="L28" s="44">
        <f t="shared" si="0"/>
        <v>250</v>
      </c>
      <c r="M28" s="44">
        <f t="shared" si="1"/>
        <v>150</v>
      </c>
      <c r="N28" s="44">
        <f t="shared" si="2"/>
        <v>100</v>
      </c>
      <c r="O28" s="44">
        <f t="shared" si="11"/>
        <v>65.554782973040645</v>
      </c>
      <c r="P28" s="44">
        <f t="shared" si="3"/>
        <v>0.94699999999999995</v>
      </c>
      <c r="Q28" s="44">
        <f t="shared" si="12"/>
        <v>62.080379475469485</v>
      </c>
      <c r="R28" s="45">
        <f t="shared" si="4"/>
        <v>60405.55859491451</v>
      </c>
      <c r="S28" s="44">
        <f t="shared" si="13"/>
        <v>375.65645892359765</v>
      </c>
      <c r="T28" s="46">
        <f t="shared" si="5"/>
        <v>13523632.521249516</v>
      </c>
      <c r="U28" s="47">
        <f t="shared" si="6"/>
        <v>943650.79009937495</v>
      </c>
      <c r="V28" s="44">
        <f t="shared" si="7"/>
        <v>65.957305979535533</v>
      </c>
      <c r="W28" s="44">
        <f t="shared" si="14"/>
        <v>165.95730597953553</v>
      </c>
      <c r="X28" s="44">
        <f t="shared" si="15"/>
        <v>165.95687866212143</v>
      </c>
      <c r="Y28" s="44">
        <f t="shared" si="16"/>
        <v>165.95745086671127</v>
      </c>
      <c r="Z28" s="44">
        <f t="shared" si="8"/>
        <v>1.5161355154845837</v>
      </c>
      <c r="AA28" s="44">
        <f t="shared" si="9"/>
        <v>0.43971443176277564</v>
      </c>
    </row>
    <row r="29" spans="2:27" x14ac:dyDescent="0.25">
      <c r="J29" s="20">
        <v>20</v>
      </c>
      <c r="K29" s="44">
        <f t="shared" si="10"/>
        <v>165.95730781556381</v>
      </c>
      <c r="L29" s="44">
        <f t="shared" si="0"/>
        <v>250</v>
      </c>
      <c r="M29" s="44">
        <f t="shared" si="1"/>
        <v>150</v>
      </c>
      <c r="N29" s="44">
        <f t="shared" si="2"/>
        <v>100</v>
      </c>
      <c r="O29" s="44">
        <f t="shared" si="11"/>
        <v>65.554722374720555</v>
      </c>
      <c r="P29" s="44">
        <f t="shared" si="3"/>
        <v>0.94699999999999995</v>
      </c>
      <c r="Q29" s="44">
        <f t="shared" si="12"/>
        <v>62.080322088860363</v>
      </c>
      <c r="R29" s="45">
        <f t="shared" si="4"/>
        <v>60405.614433384144</v>
      </c>
      <c r="S29" s="44">
        <f t="shared" si="13"/>
        <v>375.65680617776206</v>
      </c>
      <c r="T29" s="46">
        <f t="shared" si="5"/>
        <v>13523645.022399433</v>
      </c>
      <c r="U29" s="47">
        <f t="shared" si="6"/>
        <v>943651.66240346769</v>
      </c>
      <c r="V29" s="44">
        <f t="shared" si="7"/>
        <v>65.957245009126396</v>
      </c>
      <c r="W29" s="44">
        <f t="shared" si="14"/>
        <v>165.95724500912638</v>
      </c>
      <c r="X29" s="44">
        <f t="shared" si="15"/>
        <v>165.95716476441635</v>
      </c>
      <c r="Y29" s="44">
        <f t="shared" si="16"/>
        <v>165.95745086671127</v>
      </c>
      <c r="Z29" s="44">
        <f t="shared" si="8"/>
        <v>1.5161322272223368</v>
      </c>
      <c r="AA29" s="44">
        <f t="shared" si="9"/>
        <v>0.43971538543709204</v>
      </c>
    </row>
    <row r="30" spans="2:27" x14ac:dyDescent="0.25">
      <c r="J30" s="20">
        <v>21</v>
      </c>
      <c r="K30" s="44">
        <f t="shared" si="10"/>
        <v>165.95723628999008</v>
      </c>
      <c r="L30" s="44">
        <f t="shared" si="0"/>
        <v>250</v>
      </c>
      <c r="M30" s="44">
        <f t="shared" si="1"/>
        <v>150</v>
      </c>
      <c r="N30" s="44">
        <f t="shared" si="2"/>
        <v>100</v>
      </c>
      <c r="O30" s="44">
        <f t="shared" si="11"/>
        <v>65.554752673884551</v>
      </c>
      <c r="P30" s="44">
        <f t="shared" si="3"/>
        <v>0.94699999999999995</v>
      </c>
      <c r="Q30" s="44">
        <f t="shared" si="12"/>
        <v>62.080350782168665</v>
      </c>
      <c r="R30" s="45">
        <f t="shared" si="4"/>
        <v>60405.586514132781</v>
      </c>
      <c r="S30" s="44">
        <f t="shared" si="13"/>
        <v>375.65663255057694</v>
      </c>
      <c r="T30" s="46">
        <f t="shared" si="5"/>
        <v>13523638.771820771</v>
      </c>
      <c r="U30" s="47">
        <f t="shared" si="6"/>
        <v>943651.22625116294</v>
      </c>
      <c r="V30" s="44">
        <f t="shared" si="7"/>
        <v>65.957275494334937</v>
      </c>
      <c r="W30" s="44">
        <f t="shared" si="14"/>
        <v>165.95727549433494</v>
      </c>
      <c r="X30" s="44">
        <f t="shared" si="15"/>
        <v>165.95716476441635</v>
      </c>
      <c r="Y30" s="44">
        <f t="shared" si="16"/>
        <v>165.95730781556381</v>
      </c>
      <c r="Z30" s="44">
        <f t="shared" si="8"/>
        <v>1.5161338713516774</v>
      </c>
      <c r="AA30" s="44">
        <f t="shared" si="9"/>
        <v>0.43971490859993384</v>
      </c>
    </row>
    <row r="31" spans="2:27" x14ac:dyDescent="0.25">
      <c r="J31" s="20">
        <v>22</v>
      </c>
      <c r="K31" s="44">
        <f t="shared" si="10"/>
        <v>165.95727205277694</v>
      </c>
      <c r="L31" s="44">
        <f t="shared" si="0"/>
        <v>250</v>
      </c>
      <c r="M31" s="44">
        <f t="shared" si="1"/>
        <v>150</v>
      </c>
      <c r="N31" s="44">
        <f t="shared" si="2"/>
        <v>100</v>
      </c>
      <c r="O31" s="44">
        <f t="shared" si="11"/>
        <v>65.554737524303533</v>
      </c>
      <c r="P31" s="44">
        <f t="shared" si="3"/>
        <v>0.94699999999999995</v>
      </c>
      <c r="Q31" s="44">
        <f t="shared" si="12"/>
        <v>62.080336435515441</v>
      </c>
      <c r="R31" s="45">
        <f t="shared" si="4"/>
        <v>60405.600473754334</v>
      </c>
      <c r="S31" s="44">
        <f t="shared" si="13"/>
        <v>375.65671936414384</v>
      </c>
      <c r="T31" s="46">
        <f t="shared" si="5"/>
        <v>13523641.897109179</v>
      </c>
      <c r="U31" s="47">
        <f t="shared" si="6"/>
        <v>943651.44432725094</v>
      </c>
      <c r="V31" s="44">
        <f t="shared" si="7"/>
        <v>65.95726025173164</v>
      </c>
      <c r="W31" s="44">
        <f t="shared" si="14"/>
        <v>165.95726025173164</v>
      </c>
      <c r="X31" s="44">
        <f t="shared" si="15"/>
        <v>165.95723628999008</v>
      </c>
      <c r="Y31" s="44">
        <f t="shared" si="16"/>
        <v>165.95730781556381</v>
      </c>
      <c r="Z31" s="44">
        <f t="shared" si="8"/>
        <v>1.5161330492865612</v>
      </c>
      <c r="AA31" s="44">
        <f t="shared" si="9"/>
        <v>0.43971514701851294</v>
      </c>
    </row>
    <row r="32" spans="2:27" x14ac:dyDescent="0.25">
      <c r="J32" s="20">
        <v>23</v>
      </c>
      <c r="K32" s="44">
        <f t="shared" si="10"/>
        <v>165.95725417138351</v>
      </c>
      <c r="L32" s="44">
        <f t="shared" si="0"/>
        <v>250</v>
      </c>
      <c r="M32" s="44">
        <f t="shared" si="1"/>
        <v>150</v>
      </c>
      <c r="N32" s="44">
        <f t="shared" si="2"/>
        <v>100</v>
      </c>
      <c r="O32" s="44">
        <f t="shared" si="11"/>
        <v>65.554745099094291</v>
      </c>
      <c r="P32" s="44">
        <f t="shared" si="3"/>
        <v>0.94699999999999995</v>
      </c>
      <c r="Q32" s="44">
        <f t="shared" si="12"/>
        <v>62.080343608842291</v>
      </c>
      <c r="R32" s="45">
        <f t="shared" si="4"/>
        <v>60405.593493942521</v>
      </c>
      <c r="S32" s="44">
        <f t="shared" si="13"/>
        <v>375.65667595735397</v>
      </c>
      <c r="T32" s="46">
        <f t="shared" si="5"/>
        <v>13523640.334464744</v>
      </c>
      <c r="U32" s="47">
        <f t="shared" si="6"/>
        <v>943651.33528919076</v>
      </c>
      <c r="V32" s="44">
        <f t="shared" si="7"/>
        <v>65.95726787303353</v>
      </c>
      <c r="W32" s="44">
        <f t="shared" si="14"/>
        <v>165.95726787303352</v>
      </c>
      <c r="X32" s="44">
        <f t="shared" si="15"/>
        <v>165.95723628999008</v>
      </c>
      <c r="Y32" s="44">
        <f t="shared" si="16"/>
        <v>165.95727205277694</v>
      </c>
      <c r="Z32" s="44">
        <f t="shared" si="8"/>
        <v>1.516133460319008</v>
      </c>
      <c r="AA32" s="44">
        <f t="shared" si="9"/>
        <v>0.43971502780922339</v>
      </c>
    </row>
    <row r="33" spans="10:27" x14ac:dyDescent="0.25">
      <c r="J33" s="20">
        <v>24</v>
      </c>
      <c r="K33" s="44">
        <f t="shared" si="10"/>
        <v>165.95726311208023</v>
      </c>
      <c r="L33" s="44">
        <f t="shared" si="0"/>
        <v>250</v>
      </c>
      <c r="M33" s="44">
        <f t="shared" si="1"/>
        <v>150</v>
      </c>
      <c r="N33" s="44">
        <f t="shared" si="2"/>
        <v>100</v>
      </c>
      <c r="O33" s="44">
        <f t="shared" si="11"/>
        <v>65.554741311698976</v>
      </c>
      <c r="P33" s="44">
        <f t="shared" si="3"/>
        <v>0.94699999999999995</v>
      </c>
      <c r="Q33" s="44">
        <f t="shared" si="12"/>
        <v>62.08034002217893</v>
      </c>
      <c r="R33" s="45">
        <f t="shared" si="4"/>
        <v>60405.596983848161</v>
      </c>
      <c r="S33" s="44">
        <f t="shared" si="13"/>
        <v>375.65669766074723</v>
      </c>
      <c r="T33" s="46">
        <f t="shared" si="5"/>
        <v>13523641.115786899</v>
      </c>
      <c r="U33" s="47">
        <f t="shared" si="6"/>
        <v>943651.38980821648</v>
      </c>
      <c r="V33" s="44">
        <f t="shared" si="7"/>
        <v>65.957264062382663</v>
      </c>
      <c r="W33" s="44">
        <f t="shared" si="14"/>
        <v>165.95726406238265</v>
      </c>
      <c r="X33" s="44">
        <f t="shared" si="15"/>
        <v>165.95725417138351</v>
      </c>
      <c r="Y33" s="44">
        <f t="shared" si="16"/>
        <v>165.95727205277694</v>
      </c>
      <c r="Z33" s="44">
        <f t="shared" si="8"/>
        <v>1.5161332548027568</v>
      </c>
      <c r="AA33" s="44">
        <f t="shared" si="9"/>
        <v>0.43971508741386817</v>
      </c>
    </row>
    <row r="34" spans="10:27" x14ac:dyDescent="0.25">
      <c r="J34" s="20">
        <v>25</v>
      </c>
      <c r="K34" s="44">
        <f t="shared" si="10"/>
        <v>165.95726758242859</v>
      </c>
      <c r="L34" s="44">
        <f t="shared" si="0"/>
        <v>250</v>
      </c>
      <c r="M34" s="44">
        <f t="shared" si="1"/>
        <v>150</v>
      </c>
      <c r="N34" s="44">
        <f t="shared" si="2"/>
        <v>100</v>
      </c>
      <c r="O34" s="44">
        <f t="shared" si="11"/>
        <v>65.554739418001276</v>
      </c>
      <c r="P34" s="44">
        <f t="shared" si="3"/>
        <v>0.94699999999999995</v>
      </c>
      <c r="Q34" s="44">
        <f t="shared" si="12"/>
        <v>62.080338228847204</v>
      </c>
      <c r="R34" s="45">
        <f t="shared" si="4"/>
        <v>60405.598728801182</v>
      </c>
      <c r="S34" s="44">
        <f t="shared" si="13"/>
        <v>375.65670851244511</v>
      </c>
      <c r="T34" s="46">
        <f t="shared" si="5"/>
        <v>13523641.506448023</v>
      </c>
      <c r="U34" s="47">
        <f t="shared" si="6"/>
        <v>943651.41706773255</v>
      </c>
      <c r="V34" s="44">
        <f t="shared" si="7"/>
        <v>65.957262157057187</v>
      </c>
      <c r="W34" s="44">
        <f t="shared" si="14"/>
        <v>165.95726215705719</v>
      </c>
      <c r="X34" s="44">
        <f t="shared" si="15"/>
        <v>165.95726311208023</v>
      </c>
      <c r="Y34" s="44">
        <f t="shared" si="16"/>
        <v>165.95727205277694</v>
      </c>
      <c r="Z34" s="44">
        <f t="shared" si="8"/>
        <v>1.5161331520446522</v>
      </c>
      <c r="AA34" s="44">
        <f t="shared" si="9"/>
        <v>0.43971511721619055</v>
      </c>
    </row>
    <row r="35" spans="10:27" x14ac:dyDescent="0.25">
      <c r="J35" s="20">
        <v>26</v>
      </c>
      <c r="K35" s="44">
        <f t="shared" si="10"/>
        <v>165.95726534725441</v>
      </c>
      <c r="L35" s="44">
        <f t="shared" si="0"/>
        <v>250</v>
      </c>
      <c r="M35" s="44">
        <f t="shared" si="1"/>
        <v>150</v>
      </c>
      <c r="N35" s="44">
        <f t="shared" si="2"/>
        <v>100</v>
      </c>
      <c r="O35" s="44">
        <f t="shared" si="11"/>
        <v>65.554740364850133</v>
      </c>
      <c r="P35" s="44">
        <f t="shared" si="3"/>
        <v>0.94699999999999995</v>
      </c>
      <c r="Q35" s="44">
        <f t="shared" si="12"/>
        <v>62.080339125513071</v>
      </c>
      <c r="R35" s="45">
        <f t="shared" si="4"/>
        <v>60405.597856324654</v>
      </c>
      <c r="S35" s="44">
        <f t="shared" si="13"/>
        <v>375.65670308659605</v>
      </c>
      <c r="T35" s="46">
        <f t="shared" si="5"/>
        <v>13523641.311117457</v>
      </c>
      <c r="U35" s="47">
        <f t="shared" si="6"/>
        <v>943651.40343797428</v>
      </c>
      <c r="V35" s="44">
        <f t="shared" si="7"/>
        <v>65.957263109719932</v>
      </c>
      <c r="W35" s="44">
        <f t="shared" si="14"/>
        <v>165.95726310971992</v>
      </c>
      <c r="X35" s="44">
        <f t="shared" si="15"/>
        <v>165.95726311208023</v>
      </c>
      <c r="Y35" s="44">
        <f t="shared" si="16"/>
        <v>165.95726758242859</v>
      </c>
      <c r="Z35" s="44">
        <f t="shared" si="8"/>
        <v>1.5161332034237027</v>
      </c>
      <c r="AA35" s="44">
        <f t="shared" si="9"/>
        <v>0.43971510231502936</v>
      </c>
    </row>
    <row r="36" spans="10:27" x14ac:dyDescent="0.25">
      <c r="J36" s="20">
        <v>27</v>
      </c>
      <c r="K36" s="44">
        <f t="shared" si="10"/>
        <v>165.95726422966732</v>
      </c>
      <c r="L36" s="44">
        <f t="shared" si="0"/>
        <v>250</v>
      </c>
      <c r="M36" s="44">
        <f t="shared" si="1"/>
        <v>150</v>
      </c>
      <c r="N36" s="44">
        <f t="shared" si="2"/>
        <v>100</v>
      </c>
      <c r="O36" s="44">
        <f t="shared" si="11"/>
        <v>65.55474083827454</v>
      </c>
      <c r="P36" s="44">
        <f t="shared" si="3"/>
        <v>0.94699999999999995</v>
      </c>
      <c r="Q36" s="44">
        <f t="shared" si="12"/>
        <v>62.08033957384599</v>
      </c>
      <c r="R36" s="45">
        <f t="shared" si="4"/>
        <v>60405.597420086415</v>
      </c>
      <c r="S36" s="44">
        <f t="shared" si="13"/>
        <v>375.6567003736717</v>
      </c>
      <c r="T36" s="46">
        <f t="shared" si="5"/>
        <v>13523641.213452181</v>
      </c>
      <c r="U36" s="47">
        <f t="shared" si="6"/>
        <v>943651.39662309561</v>
      </c>
      <c r="V36" s="44">
        <f t="shared" si="7"/>
        <v>65.957263586051283</v>
      </c>
      <c r="W36" s="44">
        <f t="shared" si="14"/>
        <v>165.95726358605128</v>
      </c>
      <c r="X36" s="44">
        <f t="shared" si="15"/>
        <v>165.95726311208023</v>
      </c>
      <c r="Y36" s="44">
        <f t="shared" si="16"/>
        <v>165.95726534725441</v>
      </c>
      <c r="Z36" s="44">
        <f t="shared" si="8"/>
        <v>1.5161332291132292</v>
      </c>
      <c r="AA36" s="44">
        <f t="shared" si="9"/>
        <v>0.43971509486444876</v>
      </c>
    </row>
    <row r="37" spans="10:27" x14ac:dyDescent="0.25">
      <c r="J37" s="20">
        <v>28</v>
      </c>
      <c r="K37" s="44">
        <f t="shared" si="10"/>
        <v>165.95726367087377</v>
      </c>
      <c r="L37" s="44">
        <f t="shared" si="0"/>
        <v>250</v>
      </c>
      <c r="M37" s="44">
        <f t="shared" si="1"/>
        <v>150</v>
      </c>
      <c r="N37" s="44">
        <f t="shared" si="2"/>
        <v>100</v>
      </c>
      <c r="O37" s="44">
        <f t="shared" si="11"/>
        <v>65.554741074986751</v>
      </c>
      <c r="P37" s="44">
        <f t="shared" si="3"/>
        <v>0.94699999999999995</v>
      </c>
      <c r="Q37" s="44">
        <f t="shared" si="12"/>
        <v>62.080339798012453</v>
      </c>
      <c r="R37" s="45">
        <f t="shared" si="4"/>
        <v>60405.597201967299</v>
      </c>
      <c r="S37" s="44">
        <f t="shared" si="13"/>
        <v>375.65669901720952</v>
      </c>
      <c r="T37" s="46">
        <f t="shared" si="5"/>
        <v>13523641.164619543</v>
      </c>
      <c r="U37" s="47">
        <f t="shared" si="6"/>
        <v>943651.39321565616</v>
      </c>
      <c r="V37" s="44">
        <f t="shared" si="7"/>
        <v>65.957263824216966</v>
      </c>
      <c r="W37" s="44">
        <f t="shared" si="14"/>
        <v>165.95726382421697</v>
      </c>
      <c r="X37" s="44">
        <f t="shared" si="15"/>
        <v>165.95726311208023</v>
      </c>
      <c r="Y37" s="44">
        <f t="shared" si="16"/>
        <v>165.95726422966732</v>
      </c>
      <c r="Z37" s="44">
        <f t="shared" si="8"/>
        <v>1.5161332419579929</v>
      </c>
      <c r="AA37" s="44">
        <f t="shared" si="9"/>
        <v>0.43971509113915846</v>
      </c>
    </row>
    <row r="38" spans="10:27" x14ac:dyDescent="0.25">
      <c r="J38" s="20">
        <v>29</v>
      </c>
      <c r="K38" s="44">
        <f t="shared" si="10"/>
        <v>165.95726395027054</v>
      </c>
      <c r="L38" s="44">
        <f t="shared" si="0"/>
        <v>250</v>
      </c>
      <c r="M38" s="44">
        <f t="shared" si="1"/>
        <v>150</v>
      </c>
      <c r="N38" s="44">
        <f t="shared" si="2"/>
        <v>100</v>
      </c>
      <c r="O38" s="44">
        <f t="shared" si="11"/>
        <v>65.554740956630653</v>
      </c>
      <c r="P38" s="44">
        <f t="shared" si="3"/>
        <v>0.94699999999999995</v>
      </c>
      <c r="Q38" s="44">
        <f t="shared" si="12"/>
        <v>62.080339685929225</v>
      </c>
      <c r="R38" s="45">
        <f t="shared" si="4"/>
        <v>60405.597311026853</v>
      </c>
      <c r="S38" s="44">
        <f t="shared" si="13"/>
        <v>375.65669969544058</v>
      </c>
      <c r="T38" s="46">
        <f t="shared" si="5"/>
        <v>13523641.189035861</v>
      </c>
      <c r="U38" s="47">
        <f t="shared" si="6"/>
        <v>943651.39491937577</v>
      </c>
      <c r="V38" s="44">
        <f t="shared" si="7"/>
        <v>65.957263705134125</v>
      </c>
      <c r="W38" s="44">
        <f t="shared" si="14"/>
        <v>165.95726370513412</v>
      </c>
      <c r="X38" s="44">
        <f t="shared" si="15"/>
        <v>165.95726367087377</v>
      </c>
      <c r="Y38" s="44">
        <f t="shared" si="16"/>
        <v>165.95726422966732</v>
      </c>
      <c r="Z38" s="44">
        <f t="shared" si="8"/>
        <v>1.516133235535611</v>
      </c>
      <c r="AA38" s="44">
        <f t="shared" si="9"/>
        <v>0.43971509300180361</v>
      </c>
    </row>
    <row r="39" spans="10:27" x14ac:dyDescent="0.25">
      <c r="J39" s="20">
        <v>30</v>
      </c>
      <c r="K39" s="44">
        <f t="shared" si="10"/>
        <v>165.95726381057216</v>
      </c>
      <c r="L39" s="44">
        <f t="shared" si="0"/>
        <v>250</v>
      </c>
      <c r="M39" s="44">
        <f t="shared" si="1"/>
        <v>150</v>
      </c>
      <c r="N39" s="44">
        <f t="shared" si="2"/>
        <v>100</v>
      </c>
      <c r="O39" s="44">
        <f t="shared" si="11"/>
        <v>65.554741015808702</v>
      </c>
      <c r="P39" s="44">
        <f t="shared" si="3"/>
        <v>0.94699999999999995</v>
      </c>
      <c r="Q39" s="44">
        <f t="shared" si="12"/>
        <v>62.080339741970839</v>
      </c>
      <c r="R39" s="45">
        <f t="shared" si="4"/>
        <v>60405.597256497073</v>
      </c>
      <c r="S39" s="44">
        <f t="shared" si="13"/>
        <v>375.65669935632508</v>
      </c>
      <c r="T39" s="46">
        <f t="shared" si="5"/>
        <v>13523641.176827703</v>
      </c>
      <c r="U39" s="47">
        <f>T39*$M$48</f>
        <v>943651.39406751608</v>
      </c>
      <c r="V39" s="44">
        <f t="shared" si="7"/>
        <v>65.957263764675545</v>
      </c>
      <c r="W39" s="44">
        <f t="shared" si="14"/>
        <v>165.95726376467553</v>
      </c>
      <c r="X39" s="44">
        <f t="shared" si="15"/>
        <v>165.95726367087377</v>
      </c>
      <c r="Y39" s="44">
        <f t="shared" si="16"/>
        <v>165.95726395027054</v>
      </c>
      <c r="Z39" s="44">
        <f t="shared" si="8"/>
        <v>1.5161332387468021</v>
      </c>
      <c r="AA39" s="44">
        <f t="shared" si="9"/>
        <v>0.43971509207048104</v>
      </c>
    </row>
    <row r="41" spans="10:27" x14ac:dyDescent="0.25">
      <c r="K41" s="44">
        <f>(K39-32)*5/9</f>
        <v>74.420702116984529</v>
      </c>
    </row>
    <row r="43" spans="10:27" x14ac:dyDescent="0.25">
      <c r="K43" s="17" t="s">
        <v>50</v>
      </c>
      <c r="O43" s="17" t="s">
        <v>66</v>
      </c>
    </row>
    <row r="44" spans="10:27" x14ac:dyDescent="0.25">
      <c r="K44" s="1" t="s">
        <v>51</v>
      </c>
      <c r="M44" s="44">
        <f>M73</f>
        <v>500</v>
      </c>
      <c r="N44" s="1" t="s">
        <v>27</v>
      </c>
      <c r="O44" s="1" t="s">
        <v>63</v>
      </c>
      <c r="Q44" s="44">
        <f>R39</f>
        <v>60405.597256497073</v>
      </c>
      <c r="R44" s="23" t="s">
        <v>7</v>
      </c>
    </row>
    <row r="45" spans="10:27" x14ac:dyDescent="0.25">
      <c r="K45" s="1" t="s">
        <v>52</v>
      </c>
      <c r="M45" s="44">
        <f>M71+459.67</f>
        <v>559.67000000000007</v>
      </c>
      <c r="N45" s="1" t="s">
        <v>53</v>
      </c>
      <c r="O45" s="1" t="s">
        <v>64</v>
      </c>
      <c r="Q45" s="44">
        <f>S39</f>
        <v>375.65669935632508</v>
      </c>
      <c r="R45" s="23" t="s">
        <v>7</v>
      </c>
    </row>
    <row r="46" spans="10:27" x14ac:dyDescent="0.25">
      <c r="K46" s="1" t="s">
        <v>55</v>
      </c>
      <c r="M46" s="48">
        <f>14.696*29/(10.7316*M45)</f>
        <v>7.0957880768973303E-2</v>
      </c>
      <c r="N46" s="1" t="s">
        <v>3</v>
      </c>
      <c r="O46" s="1" t="s">
        <v>67</v>
      </c>
      <c r="Q46" s="44">
        <f>Q45/Q69</f>
        <v>12.52188997854417</v>
      </c>
      <c r="R46" s="23" t="s">
        <v>27</v>
      </c>
    </row>
    <row r="47" spans="10:27" x14ac:dyDescent="0.25">
      <c r="K47" s="1" t="s">
        <v>56</v>
      </c>
      <c r="M47" s="44">
        <f>EXP(-29*M44/(1545*M45))</f>
        <v>0.98337080469162519</v>
      </c>
      <c r="Q47" s="44">
        <f>Q46</f>
        <v>12.52188997854417</v>
      </c>
      <c r="R47" s="23" t="s">
        <v>27</v>
      </c>
    </row>
    <row r="48" spans="10:27" x14ac:dyDescent="0.25">
      <c r="K48" s="1" t="s">
        <v>57</v>
      </c>
      <c r="M48" s="49">
        <f>M47*M46</f>
        <v>6.9777908310997672E-2</v>
      </c>
      <c r="N48" s="1" t="s">
        <v>3</v>
      </c>
      <c r="O48" s="1" t="s">
        <v>64</v>
      </c>
      <c r="Q48" s="44">
        <f>Q47*Q69</f>
        <v>375.65669935632508</v>
      </c>
      <c r="R48" s="23" t="s">
        <v>7</v>
      </c>
    </row>
    <row r="49" spans="11:21" x14ac:dyDescent="0.25">
      <c r="K49" s="1" t="s">
        <v>54</v>
      </c>
      <c r="M49" s="44">
        <v>0.24099999999999999</v>
      </c>
      <c r="O49" s="1" t="s">
        <v>68</v>
      </c>
      <c r="Q49" s="44">
        <f>Q44/(Q69*R4)</f>
        <v>360.84586174729435</v>
      </c>
    </row>
    <row r="50" spans="11:21" x14ac:dyDescent="0.25">
      <c r="K50" s="1" t="s">
        <v>106</v>
      </c>
      <c r="M50" s="44">
        <f>M48/0.075</f>
        <v>0.93037211081330229</v>
      </c>
      <c r="Q50" s="50">
        <f>Q49</f>
        <v>360.84586174729435</v>
      </c>
    </row>
    <row r="51" spans="11:21" x14ac:dyDescent="0.25">
      <c r="O51" s="1" t="s">
        <v>70</v>
      </c>
      <c r="Q51" s="44">
        <f>Q50/G15</f>
        <v>60.140976957882394</v>
      </c>
    </row>
    <row r="53" spans="11:21" x14ac:dyDescent="0.25">
      <c r="K53" s="17" t="s">
        <v>79</v>
      </c>
      <c r="O53" s="17" t="s">
        <v>98</v>
      </c>
    </row>
    <row r="54" spans="11:21" x14ac:dyDescent="0.25">
      <c r="K54" s="1" t="s">
        <v>9</v>
      </c>
      <c r="M54" s="44">
        <f>R5*G15*(M72/100)^1.8</f>
        <v>0.55850263332224626</v>
      </c>
      <c r="N54" s="1" t="s">
        <v>87</v>
      </c>
      <c r="O54" s="1" t="s">
        <v>99</v>
      </c>
      <c r="Q54" s="44">
        <v>2</v>
      </c>
    </row>
    <row r="55" spans="11:21" x14ac:dyDescent="0.25">
      <c r="K55" s="1" t="s">
        <v>80</v>
      </c>
      <c r="M55" s="44">
        <f>M72*Q48*((K39-32)*5/9+273)*(M54+0.1)/(1.15*1000000)</f>
        <v>44.839189934524875</v>
      </c>
      <c r="N55" s="1" t="s">
        <v>81</v>
      </c>
      <c r="O55" s="1" t="s">
        <v>100</v>
      </c>
      <c r="Q55" s="44">
        <f>0.4*Q48/Q54</f>
        <v>75.131339871265013</v>
      </c>
      <c r="R55" s="23" t="s">
        <v>7</v>
      </c>
    </row>
    <row r="56" spans="11:21" x14ac:dyDescent="0.25">
      <c r="K56" s="1" t="s">
        <v>59</v>
      </c>
      <c r="M56" s="45">
        <f>T39/60</f>
        <v>225394.01961379504</v>
      </c>
      <c r="N56" s="1" t="s">
        <v>92</v>
      </c>
      <c r="O56" s="1" t="s">
        <v>101</v>
      </c>
      <c r="Q56" s="44">
        <f>(4*Q55/PI())^0.5</f>
        <v>9.780602894148819</v>
      </c>
      <c r="R56" s="23" t="s">
        <v>27</v>
      </c>
    </row>
    <row r="57" spans="11:21" x14ac:dyDescent="0.25">
      <c r="K57" s="1" t="s">
        <v>80</v>
      </c>
      <c r="M57" s="44">
        <f>M56*(M54+0.1)/(6342*G21/100)</f>
        <v>31.204153358723861</v>
      </c>
      <c r="O57" s="1" t="s">
        <v>102</v>
      </c>
      <c r="Q57" s="45">
        <f>M64/Q54</f>
        <v>112697.00980689752</v>
      </c>
      <c r="S57" s="1" t="s">
        <v>107</v>
      </c>
      <c r="T57" s="45">
        <f>U39/(M48*Q54*60)</f>
        <v>112697.00980689753</v>
      </c>
      <c r="U57" s="1" t="s">
        <v>92</v>
      </c>
    </row>
    <row r="58" spans="11:21" x14ac:dyDescent="0.25">
      <c r="O58" s="1" t="s">
        <v>103</v>
      </c>
      <c r="Q58" s="44">
        <f>(Q57/(4005*PI()*Q56^2/4))^2*M50</f>
        <v>0.1305071063997674</v>
      </c>
      <c r="S58" s="1" t="s">
        <v>108</v>
      </c>
      <c r="T58" s="44">
        <f>T57/(60*PI()*Q56^2/4)</f>
        <v>25.000000000000004</v>
      </c>
      <c r="U58" s="1" t="s">
        <v>8</v>
      </c>
    </row>
    <row r="59" spans="11:21" x14ac:dyDescent="0.25">
      <c r="K59" s="17" t="s">
        <v>94</v>
      </c>
      <c r="O59" s="1" t="s">
        <v>104</v>
      </c>
      <c r="Q59" s="52">
        <f>M62+Q58</f>
        <v>0.75092331317257921</v>
      </c>
      <c r="S59" s="1" t="s">
        <v>109</v>
      </c>
      <c r="T59" s="44">
        <f>0.5*M48*(T58^2)/32.174</f>
        <v>0.67773967635938281</v>
      </c>
      <c r="U59" s="1" t="s">
        <v>110</v>
      </c>
    </row>
    <row r="60" spans="11:21" x14ac:dyDescent="0.25">
      <c r="K60" s="1" t="s">
        <v>96</v>
      </c>
      <c r="M60" s="44">
        <f>U39/S39</f>
        <v>2512.0046991959161</v>
      </c>
      <c r="N60" s="1" t="s">
        <v>97</v>
      </c>
      <c r="O60" s="1" t="s">
        <v>105</v>
      </c>
      <c r="Q60" s="44">
        <f>(M64*Q59)/(6356*G21/100)</f>
        <v>35.505270395988312</v>
      </c>
      <c r="T60" s="44">
        <f>T59/5.20233</f>
        <v>0.130276179396421</v>
      </c>
      <c r="U60" s="1" t="s">
        <v>111</v>
      </c>
    </row>
    <row r="61" spans="11:21" x14ac:dyDescent="0.25">
      <c r="K61" s="1" t="s">
        <v>95</v>
      </c>
      <c r="M61" s="48">
        <f>6/100000000*(M60)^1.825</f>
        <v>9.6202989313000531E-2</v>
      </c>
    </row>
    <row r="62" spans="11:21" x14ac:dyDescent="0.25">
      <c r="K62" s="1" t="s">
        <v>9</v>
      </c>
      <c r="M62" s="44">
        <f>M61*G15/M50</f>
        <v>0.62041620677281184</v>
      </c>
    </row>
    <row r="63" spans="11:21" x14ac:dyDescent="0.25">
      <c r="M63" s="44"/>
    </row>
    <row r="64" spans="11:21" x14ac:dyDescent="0.25">
      <c r="K64" s="1" t="s">
        <v>92</v>
      </c>
      <c r="M64" s="45">
        <f>M56</f>
        <v>225394.01961379504</v>
      </c>
      <c r="N64" s="1" t="s">
        <v>92</v>
      </c>
    </row>
    <row r="66" spans="11:17" x14ac:dyDescent="0.25">
      <c r="K66" s="17" t="s">
        <v>113</v>
      </c>
    </row>
    <row r="67" spans="11:17" x14ac:dyDescent="0.25">
      <c r="K67" s="1" t="s">
        <v>14</v>
      </c>
      <c r="M67" s="44">
        <f>C9*3.9683207</f>
        <v>15</v>
      </c>
      <c r="N67" s="1" t="s">
        <v>15</v>
      </c>
    </row>
    <row r="68" spans="11:17" x14ac:dyDescent="0.25">
      <c r="K68" s="1" t="s">
        <v>114</v>
      </c>
      <c r="M68" s="44">
        <f>C10/4.8824276</f>
        <v>4</v>
      </c>
      <c r="N68" s="1" t="s">
        <v>115</v>
      </c>
    </row>
    <row r="69" spans="11:17" x14ac:dyDescent="0.25">
      <c r="K69" s="1" t="s">
        <v>35</v>
      </c>
      <c r="M69" s="44">
        <f>C12*9/5+32</f>
        <v>250</v>
      </c>
      <c r="N69" s="1" t="s">
        <v>19</v>
      </c>
      <c r="O69" s="1" t="s">
        <v>26</v>
      </c>
      <c r="Q69" s="44">
        <f>G13/0.3048</f>
        <v>30</v>
      </c>
    </row>
    <row r="70" spans="11:17" x14ac:dyDescent="0.25">
      <c r="K70" s="1" t="s">
        <v>36</v>
      </c>
      <c r="M70" s="44">
        <f>C13*9/5+32</f>
        <v>150</v>
      </c>
      <c r="N70" s="1" t="s">
        <v>19</v>
      </c>
    </row>
    <row r="71" spans="11:17" x14ac:dyDescent="0.25">
      <c r="K71" s="1" t="s">
        <v>116</v>
      </c>
      <c r="M71" s="44">
        <f>C15*9/5+32</f>
        <v>100</v>
      </c>
      <c r="N71" s="1" t="s">
        <v>19</v>
      </c>
    </row>
    <row r="72" spans="11:17" x14ac:dyDescent="0.25">
      <c r="K72" s="1" t="s">
        <v>117</v>
      </c>
      <c r="M72" s="44">
        <f>C16*60/0.3048</f>
        <v>600</v>
      </c>
      <c r="N72" s="1" t="s">
        <v>44</v>
      </c>
    </row>
    <row r="73" spans="11:17" x14ac:dyDescent="0.25">
      <c r="K73" s="1" t="s">
        <v>49</v>
      </c>
      <c r="M73" s="44">
        <f>C17/0.3048</f>
        <v>500</v>
      </c>
      <c r="N73" s="1" t="s">
        <v>27</v>
      </c>
    </row>
  </sheetData>
  <sheetProtection selectLockedCells="1"/>
  <mergeCells count="5">
    <mergeCell ref="B2:H2"/>
    <mergeCell ref="G3:H3"/>
    <mergeCell ref="G4:H4"/>
    <mergeCell ref="G5:H5"/>
    <mergeCell ref="G6:H6"/>
  </mergeCells>
  <dataValidations count="2">
    <dataValidation type="list" allowBlank="1" showInputMessage="1" showErrorMessage="1" sqref="G14">
      <formula1>$L$3:$L$4</formula1>
    </dataValidation>
    <dataValidation type="list" allowBlank="1" showInputMessage="1" showErrorMessage="1" sqref="G15">
      <formula1>$M$3:$M$6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4294967293" r:id="rId2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English</vt:lpstr>
      <vt:lpstr>Metric</vt:lpstr>
      <vt:lpstr>English!Print_Area</vt:lpstr>
      <vt:lpstr>Metric!Print_Area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2014-06-17T16:53:39Z</cp:lastPrinted>
  <dcterms:created xsi:type="dcterms:W3CDTF">2014-06-01T06:18:16Z</dcterms:created>
  <dcterms:modified xsi:type="dcterms:W3CDTF">2015-12-30T16:22:31Z</dcterms:modified>
</cp:coreProperties>
</file>